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'Zal_1_WPF_wg_RIO_Lodz'!$A$1:$N$76</definedName>
    <definedName name="_xlnm.Print_Titles" localSheetId="0">'Zal_1_WPF_wg_RIO_Lodz'!$6:$7</definedName>
  </definedNames>
  <calcPr fullCalcOnLoad="1"/>
</workbook>
</file>

<file path=xl/sharedStrings.xml><?xml version="1.0" encoding="utf-8"?>
<sst xmlns="http://schemas.openxmlformats.org/spreadsheetml/2006/main" count="138" uniqueCount="88">
  <si>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</si>
  <si>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</si>
  <si>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</si>
  <si>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</si>
  <si>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</si>
  <si>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</si>
  <si>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</si>
  <si>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</si>
  <si>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</si>
  <si>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</si>
  <si>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</si>
  <si>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</si>
  <si>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</si>
  <si>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</si>
  <si>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</si>
  <si>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</si>
  <si>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</si>
  <si>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</si>
  <si>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</si>
  <si>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</si>
  <si>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</si>
  <si>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</si>
  <si>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</si>
  <si>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</si>
  <si>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</si>
  <si>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</si>
  <si>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</si>
  <si>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</si>
  <si>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</si>
  <si>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</si>
  <si>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12.</t>
  </si>
  <si>
    <t>13.</t>
  </si>
  <si>
    <t>18.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</si>
  <si>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</si>
  <si>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</si>
  <si>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</si>
  <si>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</si>
  <si>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</si>
  <si>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</si>
  <si>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</si>
  <si>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</si>
  <si>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f</t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</si>
  <si>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</si>
  <si>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</si>
  <si>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</si>
  <si>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</si>
  <si>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</si>
  <si>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</si>
  <si>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</si>
  <si>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t>na wynagrodzenia i składki od nich naliczane, w tym:</t>
  </si>
  <si>
    <t>Załącznik Nr 1</t>
  </si>
  <si>
    <t>(1)</t>
  </si>
  <si>
    <t>(2)</t>
  </si>
  <si>
    <t>Wykonanie 31.12.2010</t>
  </si>
  <si>
    <t>Plan na 30.09.2011</t>
  </si>
  <si>
    <t>Wieloletnia Prognoza Finansowa Miasta Skierniewice wraz z prognozą długu na lata 2012-2019</t>
  </si>
  <si>
    <t>w tym: środki z UE*</t>
  </si>
  <si>
    <t>a1</t>
  </si>
  <si>
    <t>na projekty realizowane przy udziale środków, o których mowa w art. 5 ust. 1 pkt 2 i 3</t>
  </si>
  <si>
    <t>w tym: kwota wyłączeń z art. 243 ust. 3 pkt 1 ufp oraz art. 169 ust. 3 sufp przypadajaca na dany rok budżetowy</t>
  </si>
  <si>
    <t>w tym: odsetki i dyskonto</t>
  </si>
  <si>
    <t>- na projekty realizowane przy udziale środków, o których mowa w art. 5 ust. 1 pkt 2</t>
  </si>
  <si>
    <t>Kredyty, pożyczki, sprzedaż papierów wartościowych</t>
  </si>
  <si>
    <t>w tym na pokrycie deficytu budżetu</t>
  </si>
  <si>
    <t>Łączna kwota wyłączeń z art. 170 ust. 3 sufp</t>
  </si>
  <si>
    <t>Kwota nadwyżki budżetowej planowanej w poszczególnych latach objętych prognozą**</t>
  </si>
  <si>
    <t xml:space="preserve">Relacja (Db-Wb+Dsm)/Do, o której mowa w art. 243 w danym roku </t>
  </si>
  <si>
    <t>20a</t>
  </si>
  <si>
    <t>Relacja planowanej łącznej kwoty spłaty zobowiązań do dochodów (bez wyłączeń)</t>
  </si>
  <si>
    <t>Spełnienie wskaźnika spłaty z art. 243 ufp po uwzględnieniu art. 244 ufp (bez wyłączeń)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</si>
  <si>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</si>
  <si>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</si>
  <si>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 xml:space="preserve">Wartość przejętych zobowiązań </t>
  </si>
  <si>
    <t>w tym: od samorządowych samodzielnych publicznych zakładów opieki zdrowotnej</t>
  </si>
  <si>
    <t>Nadwyżka budżetowa z lat ubiegłych plus wolne środki, zgodnie z art. 217 ust. 1 pkt 6 ufp angażowane w budżecie roku bieżącego, w tym:</t>
  </si>
  <si>
    <t>na pokrycie deficytu budżetu</t>
  </si>
  <si>
    <t xml:space="preserve">Inne przychody nie związane z zaciągnięciem długu </t>
  </si>
  <si>
    <t>Kwota długu</t>
  </si>
  <si>
    <t>w tym: dług spłacany wydatkami (zobowiązania wymagalne, umowy zaliczane do kategorii kredytów i pożyczek, itp.)</t>
  </si>
  <si>
    <t>Kwota zobowiązań związku współtworzonego przez jst przypadających do spłaty w danym roku budżetowym podlegające doliczeniu zgodnie z art. 244 ufp</t>
  </si>
  <si>
    <r>
      <t xml:space="preserve">Zadłużenie/dochody ogółem - max 60% z art. 170 sufp (bez wyłączeń) 
</t>
    </r>
    <r>
      <rPr>
        <b/>
        <sz val="9"/>
        <color indexed="60"/>
        <rFont val="Times New Roman"/>
        <family val="1"/>
      </rPr>
      <t>[ (13 - 13a )/ 1 ]</t>
    </r>
  </si>
  <si>
    <r>
      <t xml:space="preserve">Zadłużenie/dochody ogółem - max 60% z art. 170 sufp (po uwzględnieniu wyłączeniu) 
</t>
    </r>
    <r>
      <rPr>
        <b/>
        <sz val="9"/>
        <color indexed="60"/>
        <rFont val="Times New Roman"/>
        <family val="1"/>
      </rPr>
      <t>[ (13 - 13a - 14)/ 1 ]</t>
    </r>
  </si>
  <si>
    <r>
      <t xml:space="preserve">Planowana łączna kwota spłaty zobowiązań/dochody ogółem - max. 15% z art. 169 sufp (bez wyłączeń)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</si>
  <si>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Planowana łączna kwota spłaty zobowiązań/dochody ogółem - max. 15% z art. 169 sufp (po uwzględnieniu wyłączeń) [7 + 2c]/[1] 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</si>
  <si>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[([1a]-[24]+[1c])/[1]])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</si>
  <si>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[1a-24]</t>
    </r>
  </si>
  <si>
    <t>wynagrodzenie organu wykowaczego jst</t>
  </si>
  <si>
    <t>związane z funkcjonowaniem organów jst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</si>
</sst>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#,##0.000_ ;[Red]\-#,##0.000\ 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2" fillId="0" borderId="13" xfId="56" applyFont="1" applyBorder="1" applyAlignment="1" quotePrefix="1">
      <alignment vertical="center" wrapText="1"/>
      <protection/>
    </xf>
    <xf numFmtId="165" fontId="3" fillId="0" borderId="14" xfId="56" applyNumberFormat="1" applyFont="1" applyBorder="1" applyAlignment="1">
      <alignment vertical="center"/>
      <protection/>
    </xf>
    <xf numFmtId="165" fontId="2" fillId="0" borderId="14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4" borderId="14" xfId="56" applyFont="1" applyFill="1" applyBorder="1" applyAlignment="1">
      <alignment horizontal="center" vertical="center"/>
      <protection/>
    </xf>
    <xf numFmtId="0" fontId="3" fillId="34" borderId="15" xfId="56" applyFont="1" applyFill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  <xf numFmtId="0" fontId="8" fillId="34" borderId="14" xfId="56" applyFont="1" applyFill="1" applyBorder="1" applyAlignment="1">
      <alignment horizontal="center" vertical="center"/>
      <protection/>
    </xf>
    <xf numFmtId="0" fontId="3" fillId="33" borderId="17" xfId="56" applyFont="1" applyFill="1" applyBorder="1" applyAlignment="1">
      <alignment horizontal="center" vertical="center"/>
      <protection/>
    </xf>
    <xf numFmtId="0" fontId="10" fillId="0" borderId="18" xfId="56" applyFont="1" applyBorder="1" applyAlignment="1">
      <alignment horizontal="center" vertical="center"/>
      <protection/>
    </xf>
    <xf numFmtId="0" fontId="10" fillId="0" borderId="14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left" vertical="center" wrapText="1"/>
      <protection/>
    </xf>
    <xf numFmtId="0" fontId="10" fillId="0" borderId="19" xfId="56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left" vertical="center"/>
      <protection/>
    </xf>
    <xf numFmtId="166" fontId="2" fillId="0" borderId="14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3" fillId="0" borderId="14" xfId="56" applyNumberFormat="1" applyFont="1" applyBorder="1" applyAlignment="1">
      <alignment vertical="center"/>
      <protection/>
    </xf>
    <xf numFmtId="166" fontId="3" fillId="0" borderId="10" xfId="56" applyNumberFormat="1" applyFont="1" applyBorder="1" applyAlignment="1">
      <alignment vertical="center"/>
      <protection/>
    </xf>
    <xf numFmtId="166" fontId="3" fillId="33" borderId="17" xfId="56" applyNumberFormat="1" applyFont="1" applyFill="1" applyBorder="1" applyAlignment="1">
      <alignment vertical="center"/>
      <protection/>
    </xf>
    <xf numFmtId="166" fontId="3" fillId="33" borderId="20" xfId="56" applyNumberFormat="1" applyFont="1" applyFill="1" applyBorder="1" applyAlignment="1">
      <alignment vertical="center"/>
      <protection/>
    </xf>
    <xf numFmtId="166" fontId="2" fillId="0" borderId="18" xfId="56" applyNumberFormat="1" applyFont="1" applyBorder="1" applyAlignment="1">
      <alignment vertical="center"/>
      <protection/>
    </xf>
    <xf numFmtId="166" fontId="2" fillId="0" borderId="21" xfId="56" applyNumberFormat="1" applyFont="1" applyBorder="1" applyAlignment="1">
      <alignment vertical="center"/>
      <protection/>
    </xf>
    <xf numFmtId="166" fontId="3" fillId="34" borderId="14" xfId="56" applyNumberFormat="1" applyFont="1" applyFill="1" applyBorder="1" applyAlignment="1">
      <alignment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15" xfId="56" applyNumberFormat="1" applyFont="1" applyBorder="1" applyAlignment="1">
      <alignment vertical="center"/>
      <protection/>
    </xf>
    <xf numFmtId="10" fontId="3" fillId="0" borderId="10" xfId="56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0" fontId="3" fillId="0" borderId="22" xfId="56" applyFont="1" applyBorder="1" applyAlignment="1">
      <alignment horizontal="left" vertical="center" wrapText="1"/>
      <protection/>
    </xf>
    <xf numFmtId="49" fontId="7" fillId="0" borderId="0" xfId="0" applyNumberFormat="1" applyFont="1" applyAlignment="1">
      <alignment/>
    </xf>
    <xf numFmtId="2" fontId="3" fillId="0" borderId="10" xfId="56" applyNumberFormat="1" applyFont="1" applyBorder="1" applyAlignment="1">
      <alignment vertical="center"/>
      <protection/>
    </xf>
    <xf numFmtId="166" fontId="3" fillId="0" borderId="23" xfId="56" applyNumberFormat="1" applyFont="1" applyBorder="1" applyAlignment="1">
      <alignment vertical="center"/>
      <protection/>
    </xf>
    <xf numFmtId="49" fontId="8" fillId="35" borderId="24" xfId="56" applyNumberFormat="1" applyFont="1" applyFill="1" applyBorder="1" applyAlignment="1">
      <alignment horizontal="center"/>
      <protection/>
    </xf>
    <xf numFmtId="166" fontId="2" fillId="36" borderId="14" xfId="56" applyNumberFormat="1" applyFont="1" applyFill="1" applyBorder="1" applyAlignment="1">
      <alignment vertical="center"/>
      <protection/>
    </xf>
    <xf numFmtId="166" fontId="2" fillId="36" borderId="10" xfId="56" applyNumberFormat="1" applyFont="1" applyFill="1" applyBorder="1" applyAlignment="1">
      <alignment vertical="center"/>
      <protection/>
    </xf>
    <xf numFmtId="166" fontId="3" fillId="36" borderId="14" xfId="56" applyNumberFormat="1" applyFont="1" applyFill="1" applyBorder="1" applyAlignment="1">
      <alignment vertical="center"/>
      <protection/>
    </xf>
    <xf numFmtId="166" fontId="3" fillId="36" borderId="10" xfId="56" applyNumberFormat="1" applyFont="1" applyFill="1" applyBorder="1" applyAlignment="1">
      <alignment vertical="center"/>
      <protection/>
    </xf>
    <xf numFmtId="165" fontId="2" fillId="36" borderId="14" xfId="56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49" fontId="8" fillId="35" borderId="25" xfId="56" applyNumberFormat="1" applyFont="1" applyFill="1" applyBorder="1" applyAlignment="1">
      <alignment horizontal="center"/>
      <protection/>
    </xf>
    <xf numFmtId="166" fontId="10" fillId="36" borderId="10" xfId="56" applyNumberFormat="1" applyFont="1" applyFill="1" applyBorder="1" applyAlignment="1">
      <alignment vertical="center"/>
      <protection/>
    </xf>
    <xf numFmtId="166" fontId="3" fillId="34" borderId="26" xfId="56" applyNumberFormat="1" applyFont="1" applyFill="1" applyBorder="1" applyAlignment="1">
      <alignment vertical="center"/>
      <protection/>
    </xf>
    <xf numFmtId="0" fontId="2" fillId="0" borderId="13" xfId="56" applyFont="1" applyBorder="1" applyAlignment="1">
      <alignment vertical="center" wrapText="1"/>
      <protection/>
    </xf>
    <xf numFmtId="0" fontId="3" fillId="0" borderId="27" xfId="56" applyFont="1" applyBorder="1" applyAlignment="1">
      <alignment horizontal="left" vertical="center" wrapText="1"/>
      <protection/>
    </xf>
    <xf numFmtId="0" fontId="3" fillId="0" borderId="28" xfId="56" applyFont="1" applyBorder="1" applyAlignment="1">
      <alignment horizontal="center" vertical="center"/>
      <protection/>
    </xf>
    <xf numFmtId="0" fontId="3" fillId="0" borderId="29" xfId="56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left" vertical="center" wrapText="1"/>
      <protection/>
    </xf>
    <xf numFmtId="0" fontId="3" fillId="0" borderId="15" xfId="56" applyFont="1" applyBorder="1" applyAlignment="1">
      <alignment horizontal="center" vertical="center"/>
      <protection/>
    </xf>
    <xf numFmtId="166" fontId="3" fillId="36" borderId="26" xfId="56" applyNumberFormat="1" applyFont="1" applyFill="1" applyBorder="1" applyAlignment="1">
      <alignment vertical="center"/>
      <protection/>
    </xf>
    <xf numFmtId="166" fontId="3" fillId="0" borderId="26" xfId="56" applyNumberFormat="1" applyFont="1" applyBorder="1" applyAlignment="1">
      <alignment vertical="center"/>
      <protection/>
    </xf>
    <xf numFmtId="0" fontId="3" fillId="0" borderId="17" xfId="56" applyFont="1" applyBorder="1" applyAlignment="1">
      <alignment horizontal="center" vertical="center"/>
      <protection/>
    </xf>
    <xf numFmtId="166" fontId="3" fillId="36" borderId="17" xfId="56" applyNumberFormat="1" applyFont="1" applyFill="1" applyBorder="1" applyAlignment="1">
      <alignment vertical="center"/>
      <protection/>
    </xf>
    <xf numFmtId="166" fontId="3" fillId="0" borderId="20" xfId="56" applyNumberFormat="1" applyFont="1" applyBorder="1" applyAlignment="1">
      <alignment vertical="center"/>
      <protection/>
    </xf>
    <xf numFmtId="0" fontId="3" fillId="0" borderId="22" xfId="56" applyFont="1" applyBorder="1" applyAlignment="1">
      <alignment horizontal="center" vertical="center" wrapText="1"/>
      <protection/>
    </xf>
    <xf numFmtId="10" fontId="3" fillId="0" borderId="30" xfId="56" applyNumberFormat="1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166" fontId="3" fillId="0" borderId="15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/>
      <protection/>
    </xf>
    <xf numFmtId="2" fontId="3" fillId="0" borderId="30" xfId="56" applyNumberFormat="1" applyFont="1" applyBorder="1" applyAlignment="1">
      <alignment horizontal="right" vertical="center"/>
      <protection/>
    </xf>
    <xf numFmtId="0" fontId="3" fillId="0" borderId="31" xfId="56" applyFont="1" applyBorder="1" applyAlignment="1">
      <alignment horizontal="center" vertical="center"/>
      <protection/>
    </xf>
    <xf numFmtId="166" fontId="2" fillId="36" borderId="14" xfId="56" applyNumberFormat="1" applyFont="1" applyFill="1" applyBorder="1" applyAlignment="1">
      <alignment horizontal="right" vertical="center"/>
      <protection/>
    </xf>
    <xf numFmtId="166" fontId="3" fillId="36" borderId="15" xfId="56" applyNumberFormat="1" applyFont="1" applyFill="1" applyBorder="1" applyAlignment="1">
      <alignment vertical="center"/>
      <protection/>
    </xf>
    <xf numFmtId="166" fontId="3" fillId="36" borderId="16" xfId="56" applyNumberFormat="1" applyFont="1" applyFill="1" applyBorder="1" applyAlignment="1">
      <alignment vertical="center"/>
      <protection/>
    </xf>
    <xf numFmtId="10" fontId="2" fillId="36" borderId="30" xfId="56" applyNumberFormat="1" applyFont="1" applyFill="1" applyBorder="1" applyAlignment="1">
      <alignment vertical="center"/>
      <protection/>
    </xf>
    <xf numFmtId="10" fontId="2" fillId="36" borderId="10" xfId="56" applyNumberFormat="1" applyFont="1" applyFill="1" applyBorder="1" applyAlignment="1">
      <alignment vertical="center"/>
      <protection/>
    </xf>
    <xf numFmtId="0" fontId="3" fillId="36" borderId="32" xfId="56" applyFont="1" applyFill="1" applyBorder="1" applyAlignment="1">
      <alignment horizontal="center" vertical="center" wrapText="1"/>
      <protection/>
    </xf>
    <xf numFmtId="0" fontId="3" fillId="36" borderId="33" xfId="56" applyFont="1" applyFill="1" applyBorder="1" applyAlignment="1">
      <alignment horizontal="center" vertical="center" wrapText="1"/>
      <protection/>
    </xf>
    <xf numFmtId="0" fontId="3" fillId="36" borderId="34" xfId="56" applyFont="1" applyFill="1" applyBorder="1" applyAlignment="1">
      <alignment horizontal="center" vertical="center" wrapText="1"/>
      <protection/>
    </xf>
    <xf numFmtId="0" fontId="3" fillId="36" borderId="26" xfId="56" applyFont="1" applyFill="1" applyBorder="1" applyAlignment="1">
      <alignment horizontal="center" vertical="center" wrapText="1"/>
      <protection/>
    </xf>
    <xf numFmtId="10" fontId="3" fillId="36" borderId="30" xfId="56" applyNumberFormat="1" applyFont="1" applyFill="1" applyBorder="1" applyAlignment="1">
      <alignment horizontal="right" vertical="center"/>
      <protection/>
    </xf>
    <xf numFmtId="10" fontId="3" fillId="36" borderId="30" xfId="56" applyNumberFormat="1" applyFont="1" applyFill="1" applyBorder="1" applyAlignment="1">
      <alignment horizontal="center" vertical="center"/>
      <protection/>
    </xf>
    <xf numFmtId="10" fontId="3" fillId="36" borderId="10" xfId="56" applyNumberFormat="1" applyFont="1" applyFill="1" applyBorder="1" applyAlignment="1">
      <alignment horizontal="center" vertical="center"/>
      <protection/>
    </xf>
    <xf numFmtId="10" fontId="3" fillId="36" borderId="20" xfId="56" applyNumberFormat="1" applyFont="1" applyFill="1" applyBorder="1" applyAlignment="1">
      <alignment horizontal="right" vertical="center"/>
      <protection/>
    </xf>
    <xf numFmtId="10" fontId="3" fillId="36" borderId="10" xfId="56" applyNumberFormat="1" applyFont="1" applyFill="1" applyBorder="1" applyAlignment="1">
      <alignment horizontal="right" vertical="center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4" borderId="13" xfId="56" applyFont="1" applyFill="1" applyBorder="1" applyAlignment="1">
      <alignment horizontal="left" vertical="center" wrapText="1"/>
      <protection/>
    </xf>
    <xf numFmtId="49" fontId="2" fillId="0" borderId="12" xfId="56" applyNumberFormat="1" applyFont="1" applyBorder="1" applyAlignment="1">
      <alignment horizontal="left" vertical="center" wrapText="1"/>
      <protection/>
    </xf>
    <xf numFmtId="49" fontId="2" fillId="0" borderId="13" xfId="56" applyNumberFormat="1" applyFont="1" applyBorder="1" applyAlignment="1">
      <alignment horizontal="left" vertical="center" wrapText="1"/>
      <protection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13" xfId="56" applyFont="1" applyBorder="1" applyAlignment="1" quotePrefix="1">
      <alignment horizontal="left" vertical="center" wrapText="1"/>
      <protection/>
    </xf>
    <xf numFmtId="0" fontId="3" fillId="33" borderId="27" xfId="56" applyFont="1" applyFill="1" applyBorder="1" applyAlignment="1">
      <alignment horizontal="left" vertical="center" wrapText="1"/>
      <protection/>
    </xf>
    <xf numFmtId="0" fontId="3" fillId="33" borderId="35" xfId="56" applyFont="1" applyFill="1" applyBorder="1" applyAlignment="1">
      <alignment horizontal="left" vertical="center" wrapText="1"/>
      <protection/>
    </xf>
    <xf numFmtId="0" fontId="3" fillId="33" borderId="36" xfId="56" applyFont="1" applyFill="1" applyBorder="1" applyAlignment="1">
      <alignment horizontal="left" vertical="center" wrapText="1"/>
      <protection/>
    </xf>
    <xf numFmtId="0" fontId="14" fillId="35" borderId="37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49" fontId="3" fillId="33" borderId="18" xfId="56" applyNumberFormat="1" applyFont="1" applyFill="1" applyBorder="1" applyAlignment="1">
      <alignment horizontal="center" vertical="center"/>
      <protection/>
    </xf>
    <xf numFmtId="0" fontId="13" fillId="0" borderId="40" xfId="0" applyFont="1" applyBorder="1" applyAlignment="1">
      <alignment/>
    </xf>
    <xf numFmtId="49" fontId="8" fillId="35" borderId="41" xfId="56" applyNumberFormat="1" applyFont="1" applyFill="1" applyBorder="1" applyAlignment="1">
      <alignment horizontal="center" vertical="center" wrapText="1"/>
      <protection/>
    </xf>
    <xf numFmtId="49" fontId="8" fillId="35" borderId="42" xfId="56" applyNumberFormat="1" applyFont="1" applyFill="1" applyBorder="1" applyAlignment="1">
      <alignment horizontal="center" vertical="center" wrapText="1"/>
      <protection/>
    </xf>
    <xf numFmtId="49" fontId="8" fillId="35" borderId="43" xfId="56" applyNumberFormat="1" applyFont="1" applyFill="1" applyBorder="1" applyAlignment="1">
      <alignment horizontal="center" vertical="center" wrapText="1"/>
      <protection/>
    </xf>
    <xf numFmtId="49" fontId="8" fillId="35" borderId="44" xfId="56" applyNumberFormat="1" applyFont="1" applyFill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/>
      <protection/>
    </xf>
    <xf numFmtId="0" fontId="3" fillId="0" borderId="29" xfId="56" applyFont="1" applyBorder="1" applyAlignment="1">
      <alignment horizontal="center" vertical="center"/>
      <protection/>
    </xf>
    <xf numFmtId="0" fontId="2" fillId="0" borderId="45" xfId="56" applyFont="1" applyBorder="1" applyAlignment="1">
      <alignment horizontal="left" vertical="center" wrapText="1"/>
      <protection/>
    </xf>
    <xf numFmtId="0" fontId="2" fillId="0" borderId="41" xfId="56" applyFont="1" applyBorder="1" applyAlignment="1">
      <alignment horizontal="left" vertical="center" wrapText="1"/>
      <protection/>
    </xf>
    <xf numFmtId="0" fontId="2" fillId="0" borderId="42" xfId="56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6" xfId="56" applyFont="1" applyBorder="1" applyAlignment="1">
      <alignment horizontal="left" vertical="center" wrapText="1"/>
      <protection/>
    </xf>
    <xf numFmtId="0" fontId="3" fillId="0" borderId="47" xfId="56" applyFont="1" applyBorder="1" applyAlignment="1">
      <alignment horizontal="left" vertical="center" wrapText="1"/>
      <protection/>
    </xf>
    <xf numFmtId="0" fontId="3" fillId="0" borderId="48" xfId="56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27" xfId="56" applyFont="1" applyBorder="1" applyAlignment="1">
      <alignment horizontal="left" vertical="center" wrapText="1"/>
      <protection/>
    </xf>
    <xf numFmtId="0" fontId="3" fillId="0" borderId="35" xfId="56" applyFont="1" applyBorder="1" applyAlignment="1">
      <alignment horizontal="left" vertical="center" wrapText="1"/>
      <protection/>
    </xf>
    <xf numFmtId="0" fontId="3" fillId="0" borderId="49" xfId="56" applyFont="1" applyBorder="1" applyAlignment="1">
      <alignment horizontal="left" vertical="center" wrapText="1"/>
      <protection/>
    </xf>
    <xf numFmtId="0" fontId="3" fillId="0" borderId="50" xfId="56" applyFont="1" applyBorder="1" applyAlignment="1">
      <alignment horizontal="left" vertical="center" wrapText="1"/>
      <protection/>
    </xf>
    <xf numFmtId="0" fontId="3" fillId="0" borderId="37" xfId="56" applyFont="1" applyBorder="1" applyAlignment="1">
      <alignment horizontal="left" vertical="center" wrapText="1"/>
      <protection/>
    </xf>
    <xf numFmtId="0" fontId="3" fillId="0" borderId="51" xfId="56" applyFont="1" applyBorder="1" applyAlignment="1">
      <alignment horizontal="left" vertical="center" wrapText="1"/>
      <protection/>
    </xf>
    <xf numFmtId="0" fontId="2" fillId="0" borderId="52" xfId="56" applyFont="1" applyBorder="1" applyAlignment="1">
      <alignment horizontal="left" vertical="center" wrapText="1"/>
      <protection/>
    </xf>
    <xf numFmtId="0" fontId="2" fillId="0" borderId="53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9" xfId="56" applyFont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19" xfId="56" applyFont="1" applyFill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9" xfId="56" applyFont="1" applyFill="1" applyBorder="1" applyAlignment="1">
      <alignment horizontal="left" vertical="center" wrapText="1"/>
      <protection/>
    </xf>
    <xf numFmtId="0" fontId="3" fillId="0" borderId="31" xfId="56" applyFont="1" applyBorder="1" applyAlignment="1">
      <alignment horizontal="left" vertical="center" wrapText="1"/>
      <protection/>
    </xf>
    <xf numFmtId="0" fontId="3" fillId="0" borderId="54" xfId="56" applyFont="1" applyBorder="1" applyAlignment="1">
      <alignment horizontal="left" vertical="center" wrapText="1"/>
      <protection/>
    </xf>
    <xf numFmtId="0" fontId="3" fillId="0" borderId="55" xfId="56" applyFont="1" applyBorder="1" applyAlignment="1">
      <alignment horizontal="left" vertical="center" wrapText="1"/>
      <protection/>
    </xf>
    <xf numFmtId="0" fontId="3" fillId="0" borderId="45" xfId="56" applyFont="1" applyBorder="1" applyAlignment="1">
      <alignment horizontal="left" vertical="center" wrapText="1"/>
      <protection/>
    </xf>
    <xf numFmtId="0" fontId="3" fillId="0" borderId="41" xfId="56" applyFont="1" applyBorder="1" applyAlignment="1">
      <alignment horizontal="left" vertical="center" wrapText="1"/>
      <protection/>
    </xf>
    <xf numFmtId="0" fontId="3" fillId="0" borderId="56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left" vertical="center" wrapText="1"/>
      <protection/>
    </xf>
    <xf numFmtId="49" fontId="2" fillId="0" borderId="13" xfId="56" applyNumberFormat="1" applyFont="1" applyBorder="1" applyAlignment="1" quotePrefix="1">
      <alignment horizontal="left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3" fillId="0" borderId="36" xfId="56" applyFont="1" applyBorder="1" applyAlignment="1">
      <alignment horizontal="left"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34" borderId="13" xfId="56" applyFont="1" applyFill="1" applyBorder="1" applyAlignment="1">
      <alignment vertical="center" wrapText="1"/>
      <protection/>
    </xf>
    <xf numFmtId="0" fontId="8" fillId="34" borderId="22" xfId="56" applyFont="1" applyFill="1" applyBorder="1" applyAlignment="1">
      <alignment horizontal="left" vertical="center" wrapText="1"/>
      <protection/>
    </xf>
    <xf numFmtId="0" fontId="8" fillId="34" borderId="52" xfId="56" applyFont="1" applyFill="1" applyBorder="1" applyAlignment="1">
      <alignment horizontal="left" vertical="center" wrapText="1"/>
      <protection/>
    </xf>
    <xf numFmtId="0" fontId="8" fillId="34" borderId="53" xfId="56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67</xdr:row>
      <xdr:rowOff>0</xdr:rowOff>
    </xdr:from>
    <xdr:to>
      <xdr:col>4</xdr:col>
      <xdr:colOff>1000125</xdr:colOff>
      <xdr:row>68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6163925"/>
          <a:ext cx="541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3</xdr:col>
      <xdr:colOff>19050</xdr:colOff>
      <xdr:row>72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6773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3"/>
  <sheetViews>
    <sheetView tabSelected="1" view="pageBreakPreview" zoomScaleSheetLayoutView="100" workbookViewId="0" topLeftCell="A1">
      <selection activeCell="A2" sqref="A2:C2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1.69921875" style="3" bestFit="1" customWidth="1"/>
    <col min="6" max="6" width="12.3984375" style="3" customWidth="1"/>
    <col min="7" max="7" width="11.8984375" style="3" bestFit="1" customWidth="1"/>
    <col min="8" max="9" width="11.69921875" style="3" bestFit="1" customWidth="1"/>
    <col min="10" max="10" width="11.8984375" style="3" bestFit="1" customWidth="1"/>
    <col min="11" max="12" width="11.69921875" style="3" bestFit="1" customWidth="1"/>
    <col min="13" max="13" width="13" style="3" customWidth="1"/>
    <col min="14" max="14" width="11.69921875" style="3" bestFit="1" customWidth="1"/>
    <col min="15" max="16384" width="9" style="9" customWidth="1"/>
  </cols>
  <sheetData>
    <row r="1" spans="1:3" ht="12">
      <c r="A1" s="50"/>
      <c r="B1" s="50"/>
      <c r="C1" s="50"/>
    </row>
    <row r="2" spans="1:16" ht="12">
      <c r="A2" s="108"/>
      <c r="B2" s="108"/>
      <c r="C2" s="108"/>
      <c r="M2" s="121" t="s">
        <v>50</v>
      </c>
      <c r="N2" s="122"/>
      <c r="O2" s="122"/>
      <c r="P2" s="122"/>
    </row>
    <row r="3" spans="1:14" ht="18.75">
      <c r="A3" s="120" t="s">
        <v>55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5" spans="1:4" ht="12.75" thickBot="1">
      <c r="A5" s="121"/>
      <c r="B5" s="122"/>
      <c r="C5" s="122"/>
      <c r="D5" s="122"/>
    </row>
    <row r="6" spans="1:14" ht="15" customHeight="1" thickBot="1">
      <c r="A6" s="109" t="s">
        <v>0</v>
      </c>
      <c r="B6" s="111" t="s">
        <v>1</v>
      </c>
      <c r="C6" s="111"/>
      <c r="D6" s="112"/>
      <c r="E6" s="103" t="s">
        <v>53</v>
      </c>
      <c r="F6" s="103" t="s">
        <v>54</v>
      </c>
      <c r="G6" s="101" t="s">
        <v>48</v>
      </c>
      <c r="H6" s="101"/>
      <c r="I6" s="101"/>
      <c r="J6" s="101"/>
      <c r="K6" s="101"/>
      <c r="L6" s="101"/>
      <c r="M6" s="101"/>
      <c r="N6" s="102"/>
    </row>
    <row r="7" spans="1:224" s="10" customFormat="1" ht="13.5" customHeight="1" thickBot="1">
      <c r="A7" s="110"/>
      <c r="B7" s="113"/>
      <c r="C7" s="113"/>
      <c r="D7" s="114"/>
      <c r="E7" s="104"/>
      <c r="F7" s="104"/>
      <c r="G7" s="51">
        <v>2012</v>
      </c>
      <c r="H7" s="44">
        <v>2013</v>
      </c>
      <c r="I7" s="44">
        <v>2014</v>
      </c>
      <c r="J7" s="44">
        <v>2015</v>
      </c>
      <c r="K7" s="44">
        <v>2016</v>
      </c>
      <c r="L7" s="44">
        <v>2017</v>
      </c>
      <c r="M7" s="44">
        <v>2018</v>
      </c>
      <c r="N7" s="44">
        <v>2019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</row>
    <row r="8" spans="1:14" ht="15.75" customHeight="1">
      <c r="A8" s="21" t="s">
        <v>2</v>
      </c>
      <c r="B8" s="98" t="s">
        <v>40</v>
      </c>
      <c r="C8" s="99"/>
      <c r="D8" s="100"/>
      <c r="E8" s="31">
        <f>+E9+E11</f>
        <v>174080909.65</v>
      </c>
      <c r="F8" s="32">
        <f aca="true" t="shared" si="0" ref="F8:N8">+F9+F11</f>
        <v>174518592.35</v>
      </c>
      <c r="G8" s="32">
        <f t="shared" si="0"/>
        <v>180710297.89</v>
      </c>
      <c r="H8" s="32">
        <f t="shared" si="0"/>
        <v>201000000</v>
      </c>
      <c r="I8" s="32">
        <f t="shared" si="0"/>
        <v>190000000</v>
      </c>
      <c r="J8" s="32">
        <f t="shared" si="0"/>
        <v>190000000</v>
      </c>
      <c r="K8" s="32">
        <f t="shared" si="0"/>
        <v>191000000</v>
      </c>
      <c r="L8" s="32">
        <f t="shared" si="0"/>
        <v>191000000</v>
      </c>
      <c r="M8" s="32">
        <f t="shared" si="0"/>
        <v>193000000</v>
      </c>
      <c r="N8" s="32">
        <f t="shared" si="0"/>
        <v>193000000</v>
      </c>
    </row>
    <row r="9" spans="1:14" ht="13.5" customHeight="1">
      <c r="A9" s="15" t="s">
        <v>3</v>
      </c>
      <c r="B9" s="4"/>
      <c r="C9" s="86" t="s">
        <v>4</v>
      </c>
      <c r="D9" s="87"/>
      <c r="E9" s="45">
        <v>153908726.15</v>
      </c>
      <c r="F9" s="46">
        <v>161115423.69</v>
      </c>
      <c r="G9" s="46">
        <v>165102061.25</v>
      </c>
      <c r="H9" s="46">
        <f>178000000+8519918.06+500000</f>
        <v>187019918.06</v>
      </c>
      <c r="I9" s="28">
        <f>175000000+12000000</f>
        <v>187000000</v>
      </c>
      <c r="J9" s="28">
        <f>187000000</f>
        <v>187000000</v>
      </c>
      <c r="K9" s="28">
        <v>188000000</v>
      </c>
      <c r="L9" s="28">
        <v>188000000</v>
      </c>
      <c r="M9" s="28">
        <v>190000000</v>
      </c>
      <c r="N9" s="28">
        <v>190000000</v>
      </c>
    </row>
    <row r="10" spans="1:14" ht="13.5" customHeight="1">
      <c r="A10" s="15" t="s">
        <v>57</v>
      </c>
      <c r="B10" s="58"/>
      <c r="C10" s="86" t="s">
        <v>56</v>
      </c>
      <c r="D10" s="87"/>
      <c r="E10" s="45">
        <v>3034686.82</v>
      </c>
      <c r="F10" s="46">
        <v>1283826.97</v>
      </c>
      <c r="G10" s="46">
        <v>1062909.71</v>
      </c>
      <c r="H10" s="52">
        <v>530427.95</v>
      </c>
      <c r="I10" s="28"/>
      <c r="J10" s="28"/>
      <c r="K10" s="28"/>
      <c r="L10" s="28"/>
      <c r="M10" s="28"/>
      <c r="N10" s="28"/>
    </row>
    <row r="11" spans="1:14" ht="13.5" customHeight="1">
      <c r="A11" s="15" t="s">
        <v>5</v>
      </c>
      <c r="B11" s="4"/>
      <c r="C11" s="86" t="s">
        <v>6</v>
      </c>
      <c r="D11" s="87"/>
      <c r="E11" s="45">
        <v>20172183.5</v>
      </c>
      <c r="F11" s="46">
        <f>13395168.66+8000</f>
        <v>13403168.66</v>
      </c>
      <c r="G11" s="46">
        <v>15608236.64</v>
      </c>
      <c r="H11" s="46">
        <f>7980081.94+6000000</f>
        <v>13980081.940000001</v>
      </c>
      <c r="I11" s="28">
        <v>3000000</v>
      </c>
      <c r="J11" s="28">
        <v>3000000</v>
      </c>
      <c r="K11" s="28">
        <v>3000000</v>
      </c>
      <c r="L11" s="28">
        <v>3000000</v>
      </c>
      <c r="M11" s="28">
        <v>3000000</v>
      </c>
      <c r="N11" s="28">
        <v>3000000</v>
      </c>
    </row>
    <row r="12" spans="1:14" ht="13.5" customHeight="1">
      <c r="A12" s="15" t="s">
        <v>10</v>
      </c>
      <c r="B12" s="5"/>
      <c r="C12" s="6"/>
      <c r="D12" s="11" t="s">
        <v>7</v>
      </c>
      <c r="E12" s="45">
        <v>3480824.37</v>
      </c>
      <c r="F12" s="46">
        <v>5700000</v>
      </c>
      <c r="G12" s="46">
        <v>5500000</v>
      </c>
      <c r="H12" s="46">
        <v>6000000</v>
      </c>
      <c r="I12" s="28">
        <v>3000000</v>
      </c>
      <c r="J12" s="28">
        <v>3000000</v>
      </c>
      <c r="K12" s="28">
        <v>3000000</v>
      </c>
      <c r="L12" s="28">
        <v>3000000</v>
      </c>
      <c r="M12" s="28">
        <v>3000000</v>
      </c>
      <c r="N12" s="28">
        <v>3000000</v>
      </c>
    </row>
    <row r="13" spans="1:14" ht="13.5" customHeight="1">
      <c r="A13" s="15" t="s">
        <v>13</v>
      </c>
      <c r="B13" s="4"/>
      <c r="C13" s="86" t="s">
        <v>56</v>
      </c>
      <c r="D13" s="87"/>
      <c r="E13" s="45">
        <v>12724595.97</v>
      </c>
      <c r="F13" s="46">
        <v>6974599.35</v>
      </c>
      <c r="G13" s="46">
        <v>10000050.97</v>
      </c>
      <c r="H13" s="46">
        <v>7980081.94</v>
      </c>
      <c r="I13" s="28"/>
      <c r="J13" s="28"/>
      <c r="K13" s="28"/>
      <c r="L13" s="28"/>
      <c r="M13" s="28"/>
      <c r="N13" s="28"/>
    </row>
    <row r="14" spans="1:14" ht="30" customHeight="1">
      <c r="A14" s="16" t="s">
        <v>8</v>
      </c>
      <c r="B14" s="105" t="s">
        <v>9</v>
      </c>
      <c r="C14" s="106"/>
      <c r="D14" s="107"/>
      <c r="E14" s="47">
        <f>140066591.23-560872.41</f>
        <v>139505718.82</v>
      </c>
      <c r="F14" s="48">
        <v>151728674.87</v>
      </c>
      <c r="G14" s="48">
        <f>155269247.17-1500000</f>
        <v>153769247.17</v>
      </c>
      <c r="H14" s="48">
        <v>154000000</v>
      </c>
      <c r="I14" s="30">
        <v>154000000</v>
      </c>
      <c r="J14" s="30">
        <v>155000000</v>
      </c>
      <c r="K14" s="30">
        <v>160000000</v>
      </c>
      <c r="L14" s="30">
        <v>170000000</v>
      </c>
      <c r="M14" s="30">
        <v>170000000</v>
      </c>
      <c r="N14" s="30">
        <v>170000000</v>
      </c>
    </row>
    <row r="15" spans="1:14" ht="13.5" customHeight="1">
      <c r="A15" s="15" t="s">
        <v>3</v>
      </c>
      <c r="B15" s="4"/>
      <c r="C15" s="86" t="s">
        <v>49</v>
      </c>
      <c r="D15" s="87"/>
      <c r="E15" s="45">
        <v>74289749.42</v>
      </c>
      <c r="F15" s="46">
        <v>75353802.73</v>
      </c>
      <c r="G15" s="46">
        <f>84251962</f>
        <v>84251962</v>
      </c>
      <c r="H15" s="46">
        <v>85000000</v>
      </c>
      <c r="I15" s="28">
        <v>87000000</v>
      </c>
      <c r="J15" s="28">
        <v>88000000</v>
      </c>
      <c r="K15" s="28">
        <v>89000000</v>
      </c>
      <c r="L15" s="28"/>
      <c r="M15" s="28"/>
      <c r="N15" s="28"/>
    </row>
    <row r="16" spans="1:14" ht="13.5" customHeight="1">
      <c r="A16" s="15"/>
      <c r="B16" s="4"/>
      <c r="C16" s="86" t="s">
        <v>86</v>
      </c>
      <c r="D16" s="87"/>
      <c r="E16" s="45">
        <v>178976.05</v>
      </c>
      <c r="F16" s="46">
        <v>180498.61</v>
      </c>
      <c r="G16" s="46">
        <v>180111.77</v>
      </c>
      <c r="H16" s="46">
        <v>181000</v>
      </c>
      <c r="I16" s="28">
        <v>181000</v>
      </c>
      <c r="J16" s="28">
        <v>181000</v>
      </c>
      <c r="K16" s="28">
        <v>181000</v>
      </c>
      <c r="L16" s="28"/>
      <c r="M16" s="28"/>
      <c r="N16" s="28"/>
    </row>
    <row r="17" spans="1:14" ht="13.5" customHeight="1">
      <c r="A17" s="15" t="s">
        <v>5</v>
      </c>
      <c r="B17" s="4"/>
      <c r="C17" s="86" t="s">
        <v>87</v>
      </c>
      <c r="D17" s="87"/>
      <c r="E17" s="45">
        <f>2281637.45+440251.1</f>
        <v>2721888.5500000003</v>
      </c>
      <c r="F17" s="46">
        <f>3049000-18090+23480</f>
        <v>3054390</v>
      </c>
      <c r="G17" s="46">
        <v>3164624</v>
      </c>
      <c r="H17" s="46">
        <v>3200000</v>
      </c>
      <c r="I17" s="28">
        <v>3200000</v>
      </c>
      <c r="J17" s="28">
        <v>3200000</v>
      </c>
      <c r="K17" s="28">
        <v>3200000</v>
      </c>
      <c r="L17" s="28"/>
      <c r="M17" s="28"/>
      <c r="N17" s="28"/>
    </row>
    <row r="18" spans="1:14" ht="13.5" customHeight="1">
      <c r="A18" s="15" t="s">
        <v>10</v>
      </c>
      <c r="B18" s="4"/>
      <c r="C18" s="86" t="s">
        <v>11</v>
      </c>
      <c r="D18" s="87"/>
      <c r="E18" s="45">
        <v>0</v>
      </c>
      <c r="F18" s="46">
        <v>610000</v>
      </c>
      <c r="G18" s="46">
        <f>330000+320000</f>
        <v>650000</v>
      </c>
      <c r="H18" s="46">
        <f>320000+310000</f>
        <v>630000</v>
      </c>
      <c r="I18" s="28">
        <f>300000+280000</f>
        <v>580000</v>
      </c>
      <c r="J18" s="28">
        <f>260000+270000</f>
        <v>530000</v>
      </c>
      <c r="K18" s="28">
        <v>100000</v>
      </c>
      <c r="L18" s="28"/>
      <c r="M18" s="28"/>
      <c r="N18" s="28"/>
    </row>
    <row r="19" spans="1:14" ht="24">
      <c r="A19" s="15" t="s">
        <v>13</v>
      </c>
      <c r="B19" s="4"/>
      <c r="C19" s="7"/>
      <c r="D19" s="11" t="s">
        <v>12</v>
      </c>
      <c r="E19" s="45"/>
      <c r="F19" s="46"/>
      <c r="G19" s="46"/>
      <c r="H19" s="46"/>
      <c r="I19" s="28"/>
      <c r="J19" s="28"/>
      <c r="K19" s="28"/>
      <c r="L19" s="28"/>
      <c r="M19" s="28"/>
      <c r="N19" s="28"/>
    </row>
    <row r="20" spans="1:14" ht="13.5" customHeight="1">
      <c r="A20" s="15" t="s">
        <v>33</v>
      </c>
      <c r="B20" s="4"/>
      <c r="C20" s="86" t="s">
        <v>14</v>
      </c>
      <c r="D20" s="87"/>
      <c r="E20" s="49" t="s">
        <v>39</v>
      </c>
      <c r="F20" s="46">
        <v>8754381.04</v>
      </c>
      <c r="G20" s="46">
        <v>9907148.17</v>
      </c>
      <c r="H20" s="46">
        <v>9404962.34</v>
      </c>
      <c r="I20" s="46">
        <v>1600000</v>
      </c>
      <c r="J20" s="46">
        <v>1065000</v>
      </c>
      <c r="K20" s="46">
        <v>100000</v>
      </c>
      <c r="L20" s="28"/>
      <c r="M20" s="28"/>
      <c r="N20" s="28"/>
    </row>
    <row r="21" spans="1:14" ht="24" customHeight="1">
      <c r="A21" s="15" t="s">
        <v>41</v>
      </c>
      <c r="B21" s="4"/>
      <c r="C21" s="86" t="s">
        <v>58</v>
      </c>
      <c r="D21" s="87"/>
      <c r="E21" s="72">
        <v>3493109.06</v>
      </c>
      <c r="F21" s="46">
        <v>1380587.22</v>
      </c>
      <c r="G21" s="46">
        <v>1452651.17</v>
      </c>
      <c r="H21" s="46">
        <v>584962.34</v>
      </c>
      <c r="I21" s="46"/>
      <c r="J21" s="46"/>
      <c r="K21" s="46"/>
      <c r="L21" s="28"/>
      <c r="M21" s="28"/>
      <c r="N21" s="28"/>
    </row>
    <row r="22" spans="1:14" ht="13.5" customHeight="1">
      <c r="A22" s="17" t="s">
        <v>15</v>
      </c>
      <c r="B22" s="91" t="s">
        <v>37</v>
      </c>
      <c r="C22" s="92"/>
      <c r="D22" s="93"/>
      <c r="E22" s="35">
        <f>E8-E14</f>
        <v>34575190.83000001</v>
      </c>
      <c r="F22" s="36">
        <f>F8-F14</f>
        <v>22789917.47999999</v>
      </c>
      <c r="G22" s="36">
        <f aca="true" t="shared" si="1" ref="G22:N22">G8-G14</f>
        <v>26941050.72</v>
      </c>
      <c r="H22" s="36">
        <f t="shared" si="1"/>
        <v>47000000</v>
      </c>
      <c r="I22" s="36">
        <f t="shared" si="1"/>
        <v>36000000</v>
      </c>
      <c r="J22" s="36">
        <f t="shared" si="1"/>
        <v>35000000</v>
      </c>
      <c r="K22" s="36">
        <f t="shared" si="1"/>
        <v>31000000</v>
      </c>
      <c r="L22" s="36">
        <f t="shared" si="1"/>
        <v>21000000</v>
      </c>
      <c r="M22" s="36">
        <f t="shared" si="1"/>
        <v>23000000</v>
      </c>
      <c r="N22" s="36">
        <f t="shared" si="1"/>
        <v>23000000</v>
      </c>
    </row>
    <row r="23" spans="1:14" ht="33" customHeight="1">
      <c r="A23" s="16" t="s">
        <v>16</v>
      </c>
      <c r="B23" s="88" t="s">
        <v>74</v>
      </c>
      <c r="C23" s="89"/>
      <c r="D23" s="90"/>
      <c r="E23" s="29"/>
      <c r="F23" s="48">
        <v>9615370.58</v>
      </c>
      <c r="G23" s="30"/>
      <c r="H23" s="30"/>
      <c r="I23" s="30"/>
      <c r="J23" s="30"/>
      <c r="K23" s="30"/>
      <c r="L23" s="30"/>
      <c r="M23" s="30"/>
      <c r="N23" s="30"/>
    </row>
    <row r="24" spans="1:14" ht="18" customHeight="1">
      <c r="A24" s="15" t="s">
        <v>3</v>
      </c>
      <c r="B24" s="4"/>
      <c r="C24" s="86" t="s">
        <v>75</v>
      </c>
      <c r="D24" s="97"/>
      <c r="E24" s="27"/>
      <c r="F24" s="46">
        <v>472762.24</v>
      </c>
      <c r="G24" s="28"/>
      <c r="H24" s="28"/>
      <c r="I24" s="28"/>
      <c r="J24" s="28"/>
      <c r="K24" s="28"/>
      <c r="L24" s="28"/>
      <c r="M24" s="28"/>
      <c r="N24" s="28"/>
    </row>
    <row r="25" spans="1:14" ht="13.5" customHeight="1">
      <c r="A25" s="16" t="s">
        <v>17</v>
      </c>
      <c r="B25" s="105" t="s">
        <v>76</v>
      </c>
      <c r="C25" s="106"/>
      <c r="D25" s="107"/>
      <c r="E25" s="29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3.5" customHeight="1">
      <c r="A26" s="17" t="s">
        <v>18</v>
      </c>
      <c r="B26" s="152" t="s">
        <v>36</v>
      </c>
      <c r="C26" s="153"/>
      <c r="D26" s="154"/>
      <c r="E26" s="35">
        <f>E22+E23+E25</f>
        <v>34575190.83000001</v>
      </c>
      <c r="F26" s="36">
        <f>F22+F23+F25</f>
        <v>32405288.059999987</v>
      </c>
      <c r="G26" s="36">
        <f aca="true" t="shared" si="2" ref="G26:N26">G22+G23+G25</f>
        <v>26941050.72</v>
      </c>
      <c r="H26" s="36">
        <f t="shared" si="2"/>
        <v>47000000</v>
      </c>
      <c r="I26" s="36">
        <f t="shared" si="2"/>
        <v>36000000</v>
      </c>
      <c r="J26" s="36">
        <f t="shared" si="2"/>
        <v>35000000</v>
      </c>
      <c r="K26" s="36">
        <f t="shared" si="2"/>
        <v>31000000</v>
      </c>
      <c r="L26" s="36">
        <f>L22+L23+L25</f>
        <v>21000000</v>
      </c>
      <c r="M26" s="36">
        <f t="shared" si="2"/>
        <v>23000000</v>
      </c>
      <c r="N26" s="36">
        <f t="shared" si="2"/>
        <v>23000000</v>
      </c>
    </row>
    <row r="27" spans="1:14" ht="13.5" customHeight="1">
      <c r="A27" s="16" t="s">
        <v>19</v>
      </c>
      <c r="B27" s="88" t="s">
        <v>20</v>
      </c>
      <c r="C27" s="89"/>
      <c r="D27" s="90"/>
      <c r="E27" s="29">
        <f>E28+E30</f>
        <v>7178551.23</v>
      </c>
      <c r="F27" s="30">
        <f aca="true" t="shared" si="3" ref="F27:N27">F28+F30</f>
        <v>10542608.34</v>
      </c>
      <c r="G27" s="30">
        <f t="shared" si="3"/>
        <v>11898213.32</v>
      </c>
      <c r="H27" s="30">
        <f t="shared" si="3"/>
        <v>14429867</v>
      </c>
      <c r="I27" s="30">
        <f t="shared" si="3"/>
        <v>17264228</v>
      </c>
      <c r="J27" s="30">
        <f t="shared" si="3"/>
        <v>18955272.57</v>
      </c>
      <c r="K27" s="30">
        <f t="shared" si="3"/>
        <v>18242975.56</v>
      </c>
      <c r="L27" s="30">
        <f t="shared" si="3"/>
        <v>14761000</v>
      </c>
      <c r="M27" s="30">
        <f t="shared" si="3"/>
        <v>14761000</v>
      </c>
      <c r="N27" s="30">
        <f t="shared" si="3"/>
        <v>14734647.190000001</v>
      </c>
    </row>
    <row r="28" spans="1:14" ht="27" customHeight="1">
      <c r="A28" s="15" t="s">
        <v>3</v>
      </c>
      <c r="B28" s="4"/>
      <c r="C28" s="149" t="s">
        <v>21</v>
      </c>
      <c r="D28" s="150"/>
      <c r="E28" s="45">
        <v>6617678.82</v>
      </c>
      <c r="F28" s="46">
        <f>8822366+320242.34</f>
        <v>9142608.34</v>
      </c>
      <c r="G28" s="46">
        <v>10198213.32</v>
      </c>
      <c r="H28" s="28">
        <f>9329867+3500000</f>
        <v>12829867</v>
      </c>
      <c r="I28" s="28">
        <f>9164228+6500000</f>
        <v>15664228</v>
      </c>
      <c r="J28" s="28">
        <f>8855272.57+8500000</f>
        <v>17355272.57</v>
      </c>
      <c r="K28" s="28">
        <f>8142975.56+8500000</f>
        <v>16642975.559999999</v>
      </c>
      <c r="L28" s="28">
        <f>4661000+8500000</f>
        <v>13161000</v>
      </c>
      <c r="M28" s="28">
        <f>4661000+8500000</f>
        <v>13161000</v>
      </c>
      <c r="N28" s="28">
        <f>4634647.19+8500000</f>
        <v>13134647.190000001</v>
      </c>
    </row>
    <row r="29" spans="1:14" ht="27" customHeight="1">
      <c r="A29" s="15" t="s">
        <v>57</v>
      </c>
      <c r="B29" s="4"/>
      <c r="C29" s="7"/>
      <c r="D29" s="7" t="s">
        <v>59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</row>
    <row r="30" spans="1:14" ht="13.5" customHeight="1">
      <c r="A30" s="15" t="s">
        <v>5</v>
      </c>
      <c r="B30" s="4"/>
      <c r="C30" s="149" t="s">
        <v>22</v>
      </c>
      <c r="D30" s="150"/>
      <c r="E30" s="45">
        <v>560872.41</v>
      </c>
      <c r="F30" s="46">
        <f>700000+700000</f>
        <v>1400000</v>
      </c>
      <c r="G30" s="46">
        <v>1700000</v>
      </c>
      <c r="H30" s="46">
        <v>1600000</v>
      </c>
      <c r="I30" s="46">
        <v>1600000</v>
      </c>
      <c r="J30" s="46">
        <v>1600000</v>
      </c>
      <c r="K30" s="46">
        <v>1600000</v>
      </c>
      <c r="L30" s="46">
        <v>1600000</v>
      </c>
      <c r="M30" s="46">
        <v>1600000</v>
      </c>
      <c r="N30" s="46">
        <v>1600000</v>
      </c>
    </row>
    <row r="31" spans="1:14" ht="13.5" customHeight="1">
      <c r="A31" s="15"/>
      <c r="B31" s="4"/>
      <c r="C31" s="7"/>
      <c r="D31" s="54" t="s">
        <v>60</v>
      </c>
      <c r="E31" s="45">
        <f>E30</f>
        <v>560872.41</v>
      </c>
      <c r="F31" s="45">
        <f aca="true" t="shared" si="4" ref="F31:N31">F30</f>
        <v>1400000</v>
      </c>
      <c r="G31" s="45">
        <f t="shared" si="4"/>
        <v>1700000</v>
      </c>
      <c r="H31" s="45">
        <f t="shared" si="4"/>
        <v>1600000</v>
      </c>
      <c r="I31" s="45">
        <f t="shared" si="4"/>
        <v>1600000</v>
      </c>
      <c r="J31" s="45">
        <f t="shared" si="4"/>
        <v>1600000</v>
      </c>
      <c r="K31" s="45">
        <f t="shared" si="4"/>
        <v>1600000</v>
      </c>
      <c r="L31" s="45">
        <f t="shared" si="4"/>
        <v>1600000</v>
      </c>
      <c r="M31" s="45">
        <f t="shared" si="4"/>
        <v>1600000</v>
      </c>
      <c r="N31" s="45">
        <f t="shared" si="4"/>
        <v>1600000</v>
      </c>
    </row>
    <row r="32" spans="1:14" ht="13.5" customHeight="1">
      <c r="A32" s="16" t="s">
        <v>23</v>
      </c>
      <c r="B32" s="88" t="s">
        <v>24</v>
      </c>
      <c r="C32" s="89"/>
      <c r="D32" s="90"/>
      <c r="E32" s="47"/>
      <c r="F32" s="48"/>
      <c r="G32" s="48"/>
      <c r="H32" s="30"/>
      <c r="I32" s="30"/>
      <c r="J32" s="30"/>
      <c r="K32" s="30"/>
      <c r="L32" s="30"/>
      <c r="M32" s="30"/>
      <c r="N32" s="30"/>
    </row>
    <row r="33" spans="1:14" ht="13.5" customHeight="1">
      <c r="A33" s="17" t="s">
        <v>25</v>
      </c>
      <c r="B33" s="91" t="s">
        <v>35</v>
      </c>
      <c r="C33" s="92"/>
      <c r="D33" s="93"/>
      <c r="E33" s="35">
        <f>E26-E27-E32</f>
        <v>27396639.600000013</v>
      </c>
      <c r="F33" s="36">
        <f>F26-F27-F32</f>
        <v>21862679.719999988</v>
      </c>
      <c r="G33" s="36">
        <f>G26-G27-G32</f>
        <v>15042837.399999999</v>
      </c>
      <c r="H33" s="36">
        <f aca="true" t="shared" si="5" ref="H33:N33">H26-H27-H32</f>
        <v>32570133</v>
      </c>
      <c r="I33" s="36">
        <f>I26-I27-I32</f>
        <v>18735772</v>
      </c>
      <c r="J33" s="36">
        <f t="shared" si="5"/>
        <v>16044727.43</v>
      </c>
      <c r="K33" s="36">
        <f t="shared" si="5"/>
        <v>12757024.440000001</v>
      </c>
      <c r="L33" s="36">
        <f>L26-L27-L32</f>
        <v>6239000</v>
      </c>
      <c r="M33" s="36">
        <f t="shared" si="5"/>
        <v>8239000</v>
      </c>
      <c r="N33" s="36">
        <f t="shared" si="5"/>
        <v>8265352.809999999</v>
      </c>
    </row>
    <row r="34" spans="1:14" ht="13.5" customHeight="1">
      <c r="A34" s="16" t="s">
        <v>26</v>
      </c>
      <c r="B34" s="88" t="s">
        <v>27</v>
      </c>
      <c r="C34" s="89"/>
      <c r="D34" s="90"/>
      <c r="E34" s="47">
        <v>45930300.64</v>
      </c>
      <c r="F34" s="48">
        <f>59129094.87-5105385.15-950000+17538+2784586.46-2300000+76877+221004.62+643935-207887.15-953745-2517586</f>
        <v>50838432.65</v>
      </c>
      <c r="G34" s="48">
        <v>42512633.13</v>
      </c>
      <c r="H34" s="48">
        <v>78000000</v>
      </c>
      <c r="I34" s="48">
        <v>58000000</v>
      </c>
      <c r="J34" s="48">
        <v>48000000</v>
      </c>
      <c r="K34" s="30">
        <v>42000000</v>
      </c>
      <c r="L34" s="30">
        <v>32000000</v>
      </c>
      <c r="M34" s="30">
        <v>32000000</v>
      </c>
      <c r="N34" s="30">
        <v>32000000</v>
      </c>
    </row>
    <row r="35" spans="1:14" ht="13.5" customHeight="1">
      <c r="A35" s="15" t="s">
        <v>3</v>
      </c>
      <c r="B35" s="4"/>
      <c r="C35" s="96" t="s">
        <v>28</v>
      </c>
      <c r="D35" s="97"/>
      <c r="E35" s="49" t="s">
        <v>39</v>
      </c>
      <c r="F35" s="46">
        <v>20598916.99</v>
      </c>
      <c r="G35" s="52">
        <v>36305633.13</v>
      </c>
      <c r="H35" s="52">
        <v>68266249.15</v>
      </c>
      <c r="I35" s="46">
        <v>50593137</v>
      </c>
      <c r="J35" s="46">
        <v>46590693.22</v>
      </c>
      <c r="K35" s="1"/>
      <c r="L35" s="1"/>
      <c r="M35" s="1"/>
      <c r="N35" s="1"/>
    </row>
    <row r="36" spans="1:14" ht="24" customHeight="1">
      <c r="A36" s="15"/>
      <c r="B36" s="4"/>
      <c r="C36" s="94" t="s">
        <v>61</v>
      </c>
      <c r="D36" s="148"/>
      <c r="E36" s="72">
        <v>11249560.99</v>
      </c>
      <c r="F36" s="46">
        <v>9229594.33</v>
      </c>
      <c r="G36" s="52">
        <v>9813432.11</v>
      </c>
      <c r="H36" s="52">
        <v>9388331.7</v>
      </c>
      <c r="I36" s="46"/>
      <c r="J36" s="46"/>
      <c r="K36" s="1"/>
      <c r="L36" s="1"/>
      <c r="M36" s="1"/>
      <c r="N36" s="1"/>
    </row>
    <row r="37" spans="1:14" ht="13.5" customHeight="1">
      <c r="A37" s="16" t="s">
        <v>29</v>
      </c>
      <c r="B37" s="105" t="s">
        <v>62</v>
      </c>
      <c r="C37" s="106"/>
      <c r="D37" s="107"/>
      <c r="E37" s="47">
        <v>28149031.62</v>
      </c>
      <c r="F37" s="48">
        <v>28975752.93</v>
      </c>
      <c r="G37" s="48">
        <f>50030933.82+3600000-10000000+19000000-5000000-39498537+10000000-3000000+1092000-1982407+3000000-39300+25000+42106+200000-0.09</f>
        <v>27469795.73</v>
      </c>
      <c r="H37" s="48">
        <f>16045798+2000000+14000000-5000000+200000-7000000+1784069+17000000+400000+6000000</f>
        <v>45429867</v>
      </c>
      <c r="I37" s="48">
        <f>15037400+7000000-5000000+200000-1373172+5000000+21000000+400000-3000000</f>
        <v>39264228</v>
      </c>
      <c r="J37" s="48">
        <f>10457216+2000000+200000+3898057+6000000+400000-4000000-5000000+13000000-0.43+5000000</f>
        <v>31955272.57</v>
      </c>
      <c r="K37" s="30">
        <f>8848600+1000000+200000+3794376+5000000+400000-0.44+10000000</f>
        <v>29242975.56</v>
      </c>
      <c r="L37" s="30">
        <f>8066000-3305000+27000000-11000000+5000000</f>
        <v>25761000</v>
      </c>
      <c r="M37" s="30">
        <f>11066000+1000000+200000-1905000+10000000+400000-2000000+5000000</f>
        <v>23761000</v>
      </c>
      <c r="N37" s="30">
        <f>7066000+1000000+200000+2068647+10000000+400000-2000000+0.19+5000000</f>
        <v>23734647.19</v>
      </c>
    </row>
    <row r="38" spans="1:14" ht="13.5" customHeight="1">
      <c r="A38" s="59"/>
      <c r="B38" s="40"/>
      <c r="C38" s="86" t="s">
        <v>63</v>
      </c>
      <c r="D38" s="87"/>
      <c r="E38" s="73">
        <v>11915982.22</v>
      </c>
      <c r="F38" s="60">
        <v>28975752.93</v>
      </c>
      <c r="G38" s="60">
        <v>17271582.41</v>
      </c>
      <c r="H38" s="60">
        <v>32600000</v>
      </c>
      <c r="I38" s="60">
        <v>23600000</v>
      </c>
      <c r="J38" s="60">
        <v>14600000</v>
      </c>
      <c r="K38" s="61">
        <v>12600000</v>
      </c>
      <c r="L38" s="61">
        <v>12600000</v>
      </c>
      <c r="M38" s="61">
        <v>10600000</v>
      </c>
      <c r="N38" s="61">
        <v>10600000</v>
      </c>
    </row>
    <row r="39" spans="1:14" ht="13.5" customHeight="1" thickBot="1">
      <c r="A39" s="18" t="s">
        <v>30</v>
      </c>
      <c r="B39" s="155" t="s">
        <v>34</v>
      </c>
      <c r="C39" s="156"/>
      <c r="D39" s="157"/>
      <c r="E39" s="53">
        <f>E33-E34+E37</f>
        <v>9615370.580000013</v>
      </c>
      <c r="F39" s="53">
        <f>F33-F34+F37</f>
        <v>0</v>
      </c>
      <c r="G39" s="53">
        <f>G33-G34+G37</f>
        <v>0</v>
      </c>
      <c r="H39" s="53">
        <f aca="true" t="shared" si="6" ref="H39:N39">H33-H34+H37</f>
        <v>0</v>
      </c>
      <c r="I39" s="53">
        <f t="shared" si="6"/>
        <v>0</v>
      </c>
      <c r="J39" s="53">
        <f t="shared" si="6"/>
        <v>0</v>
      </c>
      <c r="K39" s="53">
        <f t="shared" si="6"/>
        <v>0</v>
      </c>
      <c r="L39" s="53">
        <f t="shared" si="6"/>
        <v>0</v>
      </c>
      <c r="M39" s="53">
        <f t="shared" si="6"/>
        <v>0</v>
      </c>
      <c r="N39" s="53">
        <f t="shared" si="6"/>
        <v>0</v>
      </c>
    </row>
    <row r="40" spans="1:14" ht="13.5" customHeight="1">
      <c r="A40" s="19" t="s">
        <v>31</v>
      </c>
      <c r="B40" s="123" t="s">
        <v>77</v>
      </c>
      <c r="C40" s="124"/>
      <c r="D40" s="125"/>
      <c r="E40" s="74">
        <v>37733923.12</v>
      </c>
      <c r="F40" s="43">
        <f>E40+F37-F28</f>
        <v>57567067.70999999</v>
      </c>
      <c r="G40" s="43">
        <f>F40+G37-G28</f>
        <v>74838650.12</v>
      </c>
      <c r="H40" s="43">
        <f>G40+H37-H28</f>
        <v>107438650.12</v>
      </c>
      <c r="I40" s="43">
        <f aca="true" t="shared" si="7" ref="I40:N40">H40+I37-I28</f>
        <v>131038650.12</v>
      </c>
      <c r="J40" s="43">
        <f t="shared" si="7"/>
        <v>145638650.12</v>
      </c>
      <c r="K40" s="43">
        <f t="shared" si="7"/>
        <v>158238650.12</v>
      </c>
      <c r="L40" s="43">
        <f t="shared" si="7"/>
        <v>170838650.12</v>
      </c>
      <c r="M40" s="43">
        <f t="shared" si="7"/>
        <v>181438650.12</v>
      </c>
      <c r="N40" s="43">
        <f t="shared" si="7"/>
        <v>192038650.12</v>
      </c>
    </row>
    <row r="41" spans="1:14" ht="25.5" customHeight="1">
      <c r="A41" s="62" t="s">
        <v>3</v>
      </c>
      <c r="B41" s="55"/>
      <c r="C41" s="94" t="s">
        <v>78</v>
      </c>
      <c r="D41" s="95"/>
      <c r="E41" s="63"/>
      <c r="F41" s="64"/>
      <c r="G41" s="64"/>
      <c r="H41" s="64"/>
      <c r="I41" s="64"/>
      <c r="J41" s="64"/>
      <c r="K41" s="64"/>
      <c r="L41" s="64"/>
      <c r="M41" s="64"/>
      <c r="N41" s="64"/>
    </row>
    <row r="42" spans="1:14" ht="18" customHeight="1">
      <c r="A42" s="16">
        <v>14</v>
      </c>
      <c r="B42" s="105" t="s">
        <v>64</v>
      </c>
      <c r="C42" s="106"/>
      <c r="D42" s="107"/>
      <c r="E42" s="13"/>
      <c r="F42" s="1"/>
      <c r="G42" s="1"/>
      <c r="H42" s="1"/>
      <c r="I42" s="1"/>
      <c r="J42" s="1"/>
      <c r="K42" s="1"/>
      <c r="L42" s="1"/>
      <c r="M42" s="1"/>
      <c r="N42" s="1"/>
    </row>
    <row r="43" spans="1:14" ht="39.75" customHeight="1">
      <c r="A43" s="16">
        <v>15</v>
      </c>
      <c r="B43" s="105" t="s">
        <v>79</v>
      </c>
      <c r="C43" s="106"/>
      <c r="D43" s="107"/>
      <c r="E43" s="12"/>
      <c r="F43" s="2"/>
      <c r="G43" s="2"/>
      <c r="H43" s="2"/>
      <c r="I43" s="2"/>
      <c r="J43" s="2"/>
      <c r="K43" s="2"/>
      <c r="L43" s="2"/>
      <c r="M43" s="2"/>
      <c r="N43" s="2"/>
    </row>
    <row r="44" spans="1:14" ht="32.25" customHeight="1">
      <c r="A44" s="56">
        <v>16</v>
      </c>
      <c r="B44" s="105" t="s">
        <v>65</v>
      </c>
      <c r="C44" s="106"/>
      <c r="D44" s="107"/>
      <c r="E44" s="12"/>
      <c r="F44" s="2"/>
      <c r="G44" s="2"/>
      <c r="H44" s="2"/>
      <c r="I44" s="2"/>
      <c r="J44" s="2"/>
      <c r="K44" s="2"/>
      <c r="L44" s="2"/>
      <c r="M44" s="2"/>
      <c r="N44" s="2"/>
    </row>
    <row r="45" spans="1:14" ht="22.5" customHeight="1">
      <c r="A45" s="56">
        <v>17</v>
      </c>
      <c r="B45" s="105" t="s">
        <v>72</v>
      </c>
      <c r="C45" s="106"/>
      <c r="D45" s="107"/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</row>
    <row r="46" spans="1:14" ht="27.75" customHeight="1" thickBot="1">
      <c r="A46" s="56" t="s">
        <v>3</v>
      </c>
      <c r="B46" s="65"/>
      <c r="C46" s="133" t="s">
        <v>73</v>
      </c>
      <c r="D46" s="134"/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</row>
    <row r="47" spans="1:14" ht="32.25" customHeight="1" thickBot="1">
      <c r="A47" s="71" t="s">
        <v>32</v>
      </c>
      <c r="B47" s="130" t="s">
        <v>80</v>
      </c>
      <c r="C47" s="131"/>
      <c r="D47" s="132"/>
      <c r="E47" s="75">
        <f>+(E40-E41)/E8</f>
        <v>0.21676083377474467</v>
      </c>
      <c r="F47" s="76">
        <f>+(F40-F41)/F8</f>
        <v>0.3298620905361663</v>
      </c>
      <c r="G47" s="76">
        <f>+(G40-G41)/G8</f>
        <v>0.4141360564053465</v>
      </c>
      <c r="H47" s="76">
        <f>+(H40-H41)/H8</f>
        <v>0.534520647363184</v>
      </c>
      <c r="I47" s="77" t="s">
        <v>39</v>
      </c>
      <c r="J47" s="78" t="s">
        <v>39</v>
      </c>
      <c r="K47" s="78" t="s">
        <v>39</v>
      </c>
      <c r="L47" s="78" t="s">
        <v>39</v>
      </c>
      <c r="M47" s="78" t="s">
        <v>39</v>
      </c>
      <c r="N47" s="78" t="s">
        <v>39</v>
      </c>
    </row>
    <row r="48" spans="1:14" ht="41.25" customHeight="1" thickBot="1">
      <c r="A48" s="71" t="s">
        <v>3</v>
      </c>
      <c r="B48" s="141" t="s">
        <v>81</v>
      </c>
      <c r="C48" s="142"/>
      <c r="D48" s="143"/>
      <c r="E48" s="75">
        <f>+(E40-E41)/E8</f>
        <v>0.21676083377474467</v>
      </c>
      <c r="F48" s="76">
        <f>+(F40-F41)/F8</f>
        <v>0.3298620905361663</v>
      </c>
      <c r="G48" s="76">
        <f>+(G40-G41)/G8</f>
        <v>0.4141360564053465</v>
      </c>
      <c r="H48" s="76">
        <f>+(H40-H41)/H8</f>
        <v>0.534520647363184</v>
      </c>
      <c r="I48" s="79" t="s">
        <v>39</v>
      </c>
      <c r="J48" s="80" t="s">
        <v>39</v>
      </c>
      <c r="K48" s="80" t="s">
        <v>39</v>
      </c>
      <c r="L48" s="80" t="s">
        <v>39</v>
      </c>
      <c r="M48" s="80" t="s">
        <v>39</v>
      </c>
      <c r="N48" s="80" t="s">
        <v>39</v>
      </c>
    </row>
    <row r="49" spans="1:14" ht="13.5" customHeight="1">
      <c r="A49" s="115">
        <v>19</v>
      </c>
      <c r="B49" s="144" t="s">
        <v>82</v>
      </c>
      <c r="C49" s="145"/>
      <c r="D49" s="145"/>
      <c r="E49" s="84">
        <f>(E27+E18)/E8</f>
        <v>0.04123686649175319</v>
      </c>
      <c r="F49" s="84">
        <f>(F27+F18)/F8</f>
        <v>0.06390498679724195</v>
      </c>
      <c r="G49" s="84">
        <f>(G27+G18)/G8</f>
        <v>0.06943828584488423</v>
      </c>
      <c r="H49" s="84">
        <f>(H27+H18)/H8</f>
        <v>0.07492471144278606</v>
      </c>
      <c r="I49" s="83" t="s">
        <v>39</v>
      </c>
      <c r="J49" s="83" t="s">
        <v>39</v>
      </c>
      <c r="K49" s="83" t="s">
        <v>39</v>
      </c>
      <c r="L49" s="83" t="s">
        <v>39</v>
      </c>
      <c r="M49" s="83" t="s">
        <v>39</v>
      </c>
      <c r="N49" s="83" t="s">
        <v>39</v>
      </c>
    </row>
    <row r="50" spans="1:14" ht="19.5" customHeight="1">
      <c r="A50" s="116"/>
      <c r="B50" s="146"/>
      <c r="C50" s="147"/>
      <c r="D50" s="147"/>
      <c r="E50" s="85"/>
      <c r="F50" s="85"/>
      <c r="G50" s="85"/>
      <c r="H50" s="85"/>
      <c r="I50" s="83"/>
      <c r="J50" s="83"/>
      <c r="K50" s="83"/>
      <c r="L50" s="83"/>
      <c r="M50" s="83"/>
      <c r="N50" s="83"/>
    </row>
    <row r="51" spans="1:14" ht="27" customHeight="1">
      <c r="A51" s="69" t="s">
        <v>3</v>
      </c>
      <c r="B51" s="126" t="s">
        <v>83</v>
      </c>
      <c r="C51" s="126"/>
      <c r="D51" s="126"/>
      <c r="E51" s="81">
        <f>E49</f>
        <v>0.04123686649175319</v>
      </c>
      <c r="F51" s="81">
        <f aca="true" t="shared" si="8" ref="F51:N51">F49</f>
        <v>0.06390498679724195</v>
      </c>
      <c r="G51" s="81">
        <f t="shared" si="8"/>
        <v>0.06943828584488423</v>
      </c>
      <c r="H51" s="81">
        <f t="shared" si="8"/>
        <v>0.07492471144278606</v>
      </c>
      <c r="I51" s="82" t="str">
        <f t="shared" si="8"/>
        <v>x</v>
      </c>
      <c r="J51" s="82" t="str">
        <f t="shared" si="8"/>
        <v>x</v>
      </c>
      <c r="K51" s="82" t="str">
        <f t="shared" si="8"/>
        <v>x</v>
      </c>
      <c r="L51" s="82" t="str">
        <f t="shared" si="8"/>
        <v>x</v>
      </c>
      <c r="M51" s="82" t="str">
        <f t="shared" si="8"/>
        <v>x</v>
      </c>
      <c r="N51" s="82" t="str">
        <f t="shared" si="8"/>
        <v>x</v>
      </c>
    </row>
    <row r="52" spans="1:14" ht="21.75" customHeight="1">
      <c r="A52" s="57">
        <v>20</v>
      </c>
      <c r="B52" s="127" t="s">
        <v>66</v>
      </c>
      <c r="C52" s="128"/>
      <c r="D52" s="129"/>
      <c r="E52" s="70">
        <f>(E9-E14+E12)/E8</f>
        <v>0.10273287137548005</v>
      </c>
      <c r="F52" s="70">
        <f>(F9-F14+F12)/F8</f>
        <v>0.0864478025913896</v>
      </c>
      <c r="G52" s="70">
        <f>(G9-G14+G12)/G8</f>
        <v>0.09314806226619304</v>
      </c>
      <c r="H52" s="70">
        <f aca="true" t="shared" si="9" ref="H52:N52">(H9-H14+H12)/H8</f>
        <v>0.1941289455721393</v>
      </c>
      <c r="I52" s="70">
        <f t="shared" si="9"/>
        <v>0.18947368421052632</v>
      </c>
      <c r="J52" s="70">
        <f t="shared" si="9"/>
        <v>0.18421052631578946</v>
      </c>
      <c r="K52" s="70">
        <f t="shared" si="9"/>
        <v>0.16230366492146597</v>
      </c>
      <c r="L52" s="70">
        <f t="shared" si="9"/>
        <v>0.1099476439790576</v>
      </c>
      <c r="M52" s="70">
        <f t="shared" si="9"/>
        <v>0.11917098445595854</v>
      </c>
      <c r="N52" s="70">
        <f t="shared" si="9"/>
        <v>0.11917098445595854</v>
      </c>
    </row>
    <row r="53" spans="1:14" ht="27" customHeight="1">
      <c r="A53" s="16" t="s">
        <v>67</v>
      </c>
      <c r="B53" s="127" t="s">
        <v>84</v>
      </c>
      <c r="C53" s="128"/>
      <c r="D53" s="151"/>
      <c r="E53" s="38" t="s">
        <v>39</v>
      </c>
      <c r="F53" s="38" t="s">
        <v>39</v>
      </c>
      <c r="G53" s="38" t="s">
        <v>39</v>
      </c>
      <c r="H53" s="42">
        <f>(E52+F52+G52)/3</f>
        <v>0.09410957874435423</v>
      </c>
      <c r="I53" s="42">
        <f aca="true" t="shared" si="10" ref="I53:N53">(F52+G52+H52)/3</f>
        <v>0.12457493680990732</v>
      </c>
      <c r="J53" s="42">
        <f t="shared" si="10"/>
        <v>0.15891689734961956</v>
      </c>
      <c r="K53" s="42">
        <f t="shared" si="10"/>
        <v>0.18927105203281835</v>
      </c>
      <c r="L53" s="42">
        <f t="shared" si="10"/>
        <v>0.1786626251492606</v>
      </c>
      <c r="M53" s="42">
        <f t="shared" si="10"/>
        <v>0.15215394507210436</v>
      </c>
      <c r="N53" s="42">
        <f t="shared" si="10"/>
        <v>0.13047409778549404</v>
      </c>
    </row>
    <row r="54" spans="1:14" ht="27" customHeight="1">
      <c r="A54" s="16">
        <v>21</v>
      </c>
      <c r="B54" s="105" t="s">
        <v>68</v>
      </c>
      <c r="C54" s="106"/>
      <c r="D54" s="107"/>
      <c r="E54" s="66" t="s">
        <v>39</v>
      </c>
      <c r="F54" s="38" t="s">
        <v>39</v>
      </c>
      <c r="G54" s="38" t="s">
        <v>39</v>
      </c>
      <c r="H54" s="42">
        <f aca="true" t="shared" si="11" ref="H54:N54">(H27+H18)/H8</f>
        <v>0.07492471144278606</v>
      </c>
      <c r="I54" s="42">
        <f t="shared" si="11"/>
        <v>0.09391698947368421</v>
      </c>
      <c r="J54" s="42">
        <f t="shared" si="11"/>
        <v>0.10255406615789474</v>
      </c>
      <c r="K54" s="42">
        <f t="shared" si="11"/>
        <v>0.0960365212565445</v>
      </c>
      <c r="L54" s="42">
        <f t="shared" si="11"/>
        <v>0.077282722513089</v>
      </c>
      <c r="M54" s="42">
        <f t="shared" si="11"/>
        <v>0.0764818652849741</v>
      </c>
      <c r="N54" s="42">
        <f t="shared" si="11"/>
        <v>0.07634532222797928</v>
      </c>
    </row>
    <row r="55" spans="1:14" ht="28.5" customHeight="1">
      <c r="A55" s="16" t="s">
        <v>3</v>
      </c>
      <c r="B55" s="105" t="s">
        <v>69</v>
      </c>
      <c r="C55" s="106"/>
      <c r="D55" s="107"/>
      <c r="E55" s="14" t="s">
        <v>39</v>
      </c>
      <c r="F55" s="8" t="s">
        <v>39</v>
      </c>
      <c r="G55" s="8" t="s">
        <v>39</v>
      </c>
      <c r="H55" s="8" t="str">
        <f>IF(H54&lt;=H53,"Spełnia art. 243","Niezgodny z art. 243")</f>
        <v>Spełnia art. 243</v>
      </c>
      <c r="I55" s="8" t="str">
        <f aca="true" t="shared" si="12" ref="I55:N55">IF(I54&lt;=I53,"Spełnia art. 243","Niezgodny z art. 243")</f>
        <v>Spełnia art. 243</v>
      </c>
      <c r="J55" s="8" t="str">
        <f t="shared" si="12"/>
        <v>Spełnia art. 243</v>
      </c>
      <c r="K55" s="8" t="str">
        <f t="shared" si="12"/>
        <v>Spełnia art. 243</v>
      </c>
      <c r="L55" s="8" t="str">
        <f t="shared" si="12"/>
        <v>Spełnia art. 243</v>
      </c>
      <c r="M55" s="8" t="str">
        <f t="shared" si="12"/>
        <v>Spełnia art. 243</v>
      </c>
      <c r="N55" s="8" t="str">
        <f t="shared" si="12"/>
        <v>Spełnia art. 243</v>
      </c>
    </row>
    <row r="56" spans="1:14" ht="28.5" customHeight="1">
      <c r="A56" s="16">
        <v>22</v>
      </c>
      <c r="B56" s="105" t="s">
        <v>70</v>
      </c>
      <c r="C56" s="106"/>
      <c r="D56" s="107"/>
      <c r="E56" s="66" t="s">
        <v>39</v>
      </c>
      <c r="F56" s="38" t="s">
        <v>39</v>
      </c>
      <c r="G56" s="38" t="s">
        <v>39</v>
      </c>
      <c r="H56" s="42">
        <f>(H27+H18)/H8</f>
        <v>0.07492471144278606</v>
      </c>
      <c r="I56" s="42">
        <f aca="true" t="shared" si="13" ref="I56:N56">(I27+I18)/I8</f>
        <v>0.09391698947368421</v>
      </c>
      <c r="J56" s="42">
        <f t="shared" si="13"/>
        <v>0.10255406615789474</v>
      </c>
      <c r="K56" s="42">
        <f t="shared" si="13"/>
        <v>0.0960365212565445</v>
      </c>
      <c r="L56" s="42">
        <f t="shared" si="13"/>
        <v>0.077282722513089</v>
      </c>
      <c r="M56" s="42">
        <f t="shared" si="13"/>
        <v>0.0764818652849741</v>
      </c>
      <c r="N56" s="42">
        <f t="shared" si="13"/>
        <v>0.07634532222797928</v>
      </c>
    </row>
    <row r="57" spans="1:14" ht="28.5" customHeight="1" thickBot="1">
      <c r="A57" s="16" t="s">
        <v>3</v>
      </c>
      <c r="B57" s="105" t="s">
        <v>71</v>
      </c>
      <c r="C57" s="106"/>
      <c r="D57" s="107"/>
      <c r="E57" s="14" t="s">
        <v>39</v>
      </c>
      <c r="F57" s="8" t="s">
        <v>39</v>
      </c>
      <c r="G57" s="8" t="s">
        <v>39</v>
      </c>
      <c r="H57" s="8" t="str">
        <f>IF(H52&lt;=H55,"Spełnia art. 243","Nie spełnia art. 243")</f>
        <v>Spełnia art. 243</v>
      </c>
      <c r="I57" s="8" t="str">
        <f aca="true" t="shared" si="14" ref="I57:N57">IF(I52&lt;=I55,"Spełnia art. 243","Nie spełnia art. 243")</f>
        <v>Spełnia art. 243</v>
      </c>
      <c r="J57" s="8" t="str">
        <f t="shared" si="14"/>
        <v>Spełnia art. 243</v>
      </c>
      <c r="K57" s="8" t="str">
        <f t="shared" si="14"/>
        <v>Spełnia art. 243</v>
      </c>
      <c r="L57" s="8" t="str">
        <f t="shared" si="14"/>
        <v>Spełnia art. 243</v>
      </c>
      <c r="M57" s="8" t="str">
        <f t="shared" si="14"/>
        <v>Spełnia art. 243</v>
      </c>
      <c r="N57" s="8" t="str">
        <f t="shared" si="14"/>
        <v>Spełnia art. 243</v>
      </c>
    </row>
    <row r="58" spans="1:14" ht="18.75" customHeight="1">
      <c r="A58" s="22">
        <v>23</v>
      </c>
      <c r="B58" s="117" t="s">
        <v>42</v>
      </c>
      <c r="C58" s="118"/>
      <c r="D58" s="119"/>
      <c r="E58" s="33">
        <f>+E9</f>
        <v>153908726.15</v>
      </c>
      <c r="F58" s="34">
        <f aca="true" t="shared" si="15" ref="F58:N58">+F9</f>
        <v>161115423.69</v>
      </c>
      <c r="G58" s="34">
        <f t="shared" si="15"/>
        <v>165102061.25</v>
      </c>
      <c r="H58" s="34">
        <f t="shared" si="15"/>
        <v>187019918.06</v>
      </c>
      <c r="I58" s="34">
        <f t="shared" si="15"/>
        <v>187000000</v>
      </c>
      <c r="J58" s="34">
        <f t="shared" si="15"/>
        <v>187000000</v>
      </c>
      <c r="K58" s="34">
        <f t="shared" si="15"/>
        <v>188000000</v>
      </c>
      <c r="L58" s="34">
        <f t="shared" si="15"/>
        <v>188000000</v>
      </c>
      <c r="M58" s="34">
        <f t="shared" si="15"/>
        <v>190000000</v>
      </c>
      <c r="N58" s="34">
        <f t="shared" si="15"/>
        <v>190000000</v>
      </c>
    </row>
    <row r="59" spans="1:14" ht="18.75" customHeight="1">
      <c r="A59" s="23">
        <v>24</v>
      </c>
      <c r="B59" s="135" t="s">
        <v>43</v>
      </c>
      <c r="C59" s="135"/>
      <c r="D59" s="136"/>
      <c r="E59" s="27">
        <f>+E14+E30</f>
        <v>140066591.23</v>
      </c>
      <c r="F59" s="28">
        <f aca="true" t="shared" si="16" ref="F59:N59">+F14+F30</f>
        <v>153128674.87</v>
      </c>
      <c r="G59" s="28">
        <f t="shared" si="16"/>
        <v>155469247.17</v>
      </c>
      <c r="H59" s="28">
        <f t="shared" si="16"/>
        <v>155600000</v>
      </c>
      <c r="I59" s="28">
        <f t="shared" si="16"/>
        <v>155600000</v>
      </c>
      <c r="J59" s="28">
        <f t="shared" si="16"/>
        <v>156600000</v>
      </c>
      <c r="K59" s="28">
        <f t="shared" si="16"/>
        <v>161600000</v>
      </c>
      <c r="L59" s="28">
        <f t="shared" si="16"/>
        <v>171600000</v>
      </c>
      <c r="M59" s="28">
        <f t="shared" si="16"/>
        <v>171600000</v>
      </c>
      <c r="N59" s="28">
        <f t="shared" si="16"/>
        <v>171600000</v>
      </c>
    </row>
    <row r="60" spans="1:14" ht="19.5" customHeight="1">
      <c r="A60" s="20">
        <v>25</v>
      </c>
      <c r="B60" s="137" t="s">
        <v>85</v>
      </c>
      <c r="C60" s="137"/>
      <c r="D60" s="138"/>
      <c r="E60" s="35">
        <f>+E58-E59</f>
        <v>13842134.920000017</v>
      </c>
      <c r="F60" s="36">
        <f aca="true" t="shared" si="17" ref="F60:N60">+F58-F59</f>
        <v>7986748.819999993</v>
      </c>
      <c r="G60" s="36">
        <f t="shared" si="17"/>
        <v>9632814.080000013</v>
      </c>
      <c r="H60" s="36">
        <f t="shared" si="17"/>
        <v>31419918.060000002</v>
      </c>
      <c r="I60" s="36">
        <f t="shared" si="17"/>
        <v>31400000</v>
      </c>
      <c r="J60" s="36">
        <f t="shared" si="17"/>
        <v>30400000</v>
      </c>
      <c r="K60" s="36">
        <f t="shared" si="17"/>
        <v>26400000</v>
      </c>
      <c r="L60" s="36">
        <f t="shared" si="17"/>
        <v>16400000</v>
      </c>
      <c r="M60" s="36">
        <f t="shared" si="17"/>
        <v>18400000</v>
      </c>
      <c r="N60" s="36">
        <f t="shared" si="17"/>
        <v>18400000</v>
      </c>
    </row>
    <row r="61" spans="1:14" ht="16.5" customHeight="1">
      <c r="A61" s="23">
        <v>26</v>
      </c>
      <c r="B61" s="26" t="s">
        <v>44</v>
      </c>
      <c r="C61" s="24"/>
      <c r="D61" s="25"/>
      <c r="E61" s="27">
        <f>+E8</f>
        <v>174080909.65</v>
      </c>
      <c r="F61" s="28">
        <f aca="true" t="shared" si="18" ref="F61:N61">+F8</f>
        <v>174518592.35</v>
      </c>
      <c r="G61" s="28">
        <f t="shared" si="18"/>
        <v>180710297.89</v>
      </c>
      <c r="H61" s="28">
        <f t="shared" si="18"/>
        <v>201000000</v>
      </c>
      <c r="I61" s="28">
        <f t="shared" si="18"/>
        <v>190000000</v>
      </c>
      <c r="J61" s="28">
        <f t="shared" si="18"/>
        <v>190000000</v>
      </c>
      <c r="K61" s="28">
        <f t="shared" si="18"/>
        <v>191000000</v>
      </c>
      <c r="L61" s="28">
        <f t="shared" si="18"/>
        <v>191000000</v>
      </c>
      <c r="M61" s="28">
        <f t="shared" si="18"/>
        <v>193000000</v>
      </c>
      <c r="N61" s="28">
        <f t="shared" si="18"/>
        <v>193000000</v>
      </c>
    </row>
    <row r="62" spans="1:14" ht="15" customHeight="1">
      <c r="A62" s="23">
        <v>27</v>
      </c>
      <c r="B62" s="135" t="s">
        <v>45</v>
      </c>
      <c r="C62" s="135"/>
      <c r="D62" s="136"/>
      <c r="E62" s="27">
        <f>E34+E14+E30</f>
        <v>185996891.86999997</v>
      </c>
      <c r="F62" s="27">
        <f aca="true" t="shared" si="19" ref="F62:N62">F34+F14+F30</f>
        <v>203967107.52</v>
      </c>
      <c r="G62" s="27">
        <f t="shared" si="19"/>
        <v>197981880.29999998</v>
      </c>
      <c r="H62" s="27">
        <f t="shared" si="19"/>
        <v>233600000</v>
      </c>
      <c r="I62" s="27">
        <f t="shared" si="19"/>
        <v>213600000</v>
      </c>
      <c r="J62" s="27">
        <f t="shared" si="19"/>
        <v>204600000</v>
      </c>
      <c r="K62" s="27">
        <f t="shared" si="19"/>
        <v>203600000</v>
      </c>
      <c r="L62" s="27">
        <f t="shared" si="19"/>
        <v>203600000</v>
      </c>
      <c r="M62" s="27">
        <f t="shared" si="19"/>
        <v>203600000</v>
      </c>
      <c r="N62" s="27">
        <f t="shared" si="19"/>
        <v>203600000</v>
      </c>
    </row>
    <row r="63" spans="1:14" ht="18" customHeight="1">
      <c r="A63" s="20">
        <v>28</v>
      </c>
      <c r="B63" s="139" t="s">
        <v>38</v>
      </c>
      <c r="C63" s="139"/>
      <c r="D63" s="140"/>
      <c r="E63" s="35">
        <f>+E61-E62</f>
        <v>-11915982.219999969</v>
      </c>
      <c r="F63" s="36">
        <f aca="true" t="shared" si="20" ref="F63:N63">+F61-F62</f>
        <v>-29448515.170000017</v>
      </c>
      <c r="G63" s="36">
        <f t="shared" si="20"/>
        <v>-17271582.409999996</v>
      </c>
      <c r="H63" s="36">
        <f t="shared" si="20"/>
        <v>-32600000</v>
      </c>
      <c r="I63" s="36">
        <f t="shared" si="20"/>
        <v>-23600000</v>
      </c>
      <c r="J63" s="36">
        <f t="shared" si="20"/>
        <v>-14600000</v>
      </c>
      <c r="K63" s="36">
        <f t="shared" si="20"/>
        <v>-12600000</v>
      </c>
      <c r="L63" s="36">
        <f t="shared" si="20"/>
        <v>-12600000</v>
      </c>
      <c r="M63" s="36">
        <f t="shared" si="20"/>
        <v>-10600000</v>
      </c>
      <c r="N63" s="36">
        <f t="shared" si="20"/>
        <v>-10600000</v>
      </c>
    </row>
    <row r="64" spans="1:14" ht="19.5" customHeight="1">
      <c r="A64" s="67">
        <v>29</v>
      </c>
      <c r="B64" s="135" t="s">
        <v>46</v>
      </c>
      <c r="C64" s="135"/>
      <c r="D64" s="135"/>
      <c r="E64" s="28">
        <f>+E23+E25+E37</f>
        <v>28149031.62</v>
      </c>
      <c r="F64" s="28">
        <f aca="true" t="shared" si="21" ref="F64:N64">+F23+F25+F37</f>
        <v>38591123.51</v>
      </c>
      <c r="G64" s="28">
        <f t="shared" si="21"/>
        <v>27469795.73</v>
      </c>
      <c r="H64" s="28">
        <f t="shared" si="21"/>
        <v>45429867</v>
      </c>
      <c r="I64" s="28">
        <f t="shared" si="21"/>
        <v>39264228</v>
      </c>
      <c r="J64" s="28">
        <f t="shared" si="21"/>
        <v>31955272.57</v>
      </c>
      <c r="K64" s="28">
        <f t="shared" si="21"/>
        <v>29242975.56</v>
      </c>
      <c r="L64" s="28">
        <f t="shared" si="21"/>
        <v>25761000</v>
      </c>
      <c r="M64" s="28">
        <f t="shared" si="21"/>
        <v>23761000</v>
      </c>
      <c r="N64" s="28">
        <f t="shared" si="21"/>
        <v>23734647.19</v>
      </c>
    </row>
    <row r="65" spans="1:14" ht="17.25" customHeight="1">
      <c r="A65" s="67">
        <v>30</v>
      </c>
      <c r="B65" s="135" t="s">
        <v>47</v>
      </c>
      <c r="C65" s="135"/>
      <c r="D65" s="135"/>
      <c r="E65" s="28">
        <f>E28+E32</f>
        <v>6617678.82</v>
      </c>
      <c r="F65" s="28">
        <f aca="true" t="shared" si="22" ref="F65:N65">F28+F32</f>
        <v>9142608.34</v>
      </c>
      <c r="G65" s="28">
        <f t="shared" si="22"/>
        <v>10198213.32</v>
      </c>
      <c r="H65" s="28">
        <f t="shared" si="22"/>
        <v>12829867</v>
      </c>
      <c r="I65" s="28">
        <f t="shared" si="22"/>
        <v>15664228</v>
      </c>
      <c r="J65" s="28">
        <f t="shared" si="22"/>
        <v>17355272.57</v>
      </c>
      <c r="K65" s="28">
        <f t="shared" si="22"/>
        <v>16642975.559999999</v>
      </c>
      <c r="L65" s="28">
        <f t="shared" si="22"/>
        <v>13161000</v>
      </c>
      <c r="M65" s="28">
        <f t="shared" si="22"/>
        <v>13161000</v>
      </c>
      <c r="N65" s="28">
        <f t="shared" si="22"/>
        <v>13134647.190000001</v>
      </c>
    </row>
    <row r="66" spans="8:14" ht="12">
      <c r="H66" s="39"/>
      <c r="I66" s="39"/>
      <c r="J66" s="39"/>
      <c r="K66" s="39"/>
      <c r="L66" s="39"/>
      <c r="M66" s="39"/>
      <c r="N66" s="39"/>
    </row>
    <row r="67" spans="8:14" ht="12">
      <c r="H67" s="39"/>
      <c r="I67" s="39"/>
      <c r="J67" s="39"/>
      <c r="K67" s="39"/>
      <c r="L67" s="39"/>
      <c r="M67" s="39"/>
      <c r="N67" s="39"/>
    </row>
    <row r="68" spans="1:14" ht="12">
      <c r="A68" s="41" t="s">
        <v>51</v>
      </c>
      <c r="H68" s="39"/>
      <c r="I68" s="39"/>
      <c r="J68" s="39"/>
      <c r="K68" s="39"/>
      <c r="L68" s="39"/>
      <c r="M68" s="39"/>
      <c r="N68" s="39"/>
    </row>
    <row r="69" spans="1:14" ht="12">
      <c r="A69" s="41"/>
      <c r="H69" s="39"/>
      <c r="I69" s="39"/>
      <c r="J69" s="39"/>
      <c r="K69" s="39"/>
      <c r="L69" s="39"/>
      <c r="M69" s="39"/>
      <c r="N69" s="39"/>
    </row>
    <row r="70" spans="1:14" ht="12">
      <c r="A70" s="41"/>
      <c r="H70" s="39"/>
      <c r="I70" s="39"/>
      <c r="J70" s="39"/>
      <c r="K70" s="39"/>
      <c r="L70" s="39"/>
      <c r="M70" s="39"/>
      <c r="N70" s="39"/>
    </row>
    <row r="71" spans="1:14" ht="12">
      <c r="A71" s="41"/>
      <c r="H71" s="9"/>
      <c r="I71" s="9"/>
      <c r="J71" s="9"/>
      <c r="K71" s="9"/>
      <c r="L71" s="9"/>
      <c r="M71" s="9"/>
      <c r="N71" s="9"/>
    </row>
    <row r="72" ht="12">
      <c r="A72" s="41" t="s">
        <v>52</v>
      </c>
    </row>
    <row r="73" ht="12">
      <c r="A73" s="41"/>
    </row>
  </sheetData>
  <sheetProtection/>
  <mergeCells count="72">
    <mergeCell ref="B25:D25"/>
    <mergeCell ref="B26:D26"/>
    <mergeCell ref="B39:D39"/>
    <mergeCell ref="C38:D38"/>
    <mergeCell ref="B42:D42"/>
    <mergeCell ref="B44:D44"/>
    <mergeCell ref="C30:D30"/>
    <mergeCell ref="C21:D21"/>
    <mergeCell ref="C10:D10"/>
    <mergeCell ref="C13:D13"/>
    <mergeCell ref="C36:D36"/>
    <mergeCell ref="B59:D59"/>
    <mergeCell ref="C28:D28"/>
    <mergeCell ref="B32:D32"/>
    <mergeCell ref="B53:D53"/>
    <mergeCell ref="B43:D43"/>
    <mergeCell ref="B57:D57"/>
    <mergeCell ref="B56:D56"/>
    <mergeCell ref="B45:D45"/>
    <mergeCell ref="C46:D46"/>
    <mergeCell ref="B64:D64"/>
    <mergeCell ref="B65:D65"/>
    <mergeCell ref="B62:D62"/>
    <mergeCell ref="B60:D60"/>
    <mergeCell ref="B63:D63"/>
    <mergeCell ref="B48:D48"/>
    <mergeCell ref="B49:D50"/>
    <mergeCell ref="B55:D55"/>
    <mergeCell ref="B37:D37"/>
    <mergeCell ref="B40:D40"/>
    <mergeCell ref="B54:D54"/>
    <mergeCell ref="B51:D51"/>
    <mergeCell ref="B52:D52"/>
    <mergeCell ref="B47:D47"/>
    <mergeCell ref="A2:C2"/>
    <mergeCell ref="A6:A7"/>
    <mergeCell ref="C11:D11"/>
    <mergeCell ref="B6:D7"/>
    <mergeCell ref="A49:A50"/>
    <mergeCell ref="B58:D58"/>
    <mergeCell ref="A3:N3"/>
    <mergeCell ref="M2:P2"/>
    <mergeCell ref="A5:D5"/>
    <mergeCell ref="C17:D17"/>
    <mergeCell ref="B8:D8"/>
    <mergeCell ref="B22:D22"/>
    <mergeCell ref="C15:D15"/>
    <mergeCell ref="G6:N6"/>
    <mergeCell ref="F6:F7"/>
    <mergeCell ref="B14:D14"/>
    <mergeCell ref="C18:D18"/>
    <mergeCell ref="C20:D20"/>
    <mergeCell ref="C9:D9"/>
    <mergeCell ref="E6:E7"/>
    <mergeCell ref="E49:E50"/>
    <mergeCell ref="C16:D16"/>
    <mergeCell ref="B34:D34"/>
    <mergeCell ref="B33:D33"/>
    <mergeCell ref="C41:D41"/>
    <mergeCell ref="L49:L50"/>
    <mergeCell ref="B23:D23"/>
    <mergeCell ref="B27:D27"/>
    <mergeCell ref="C35:D35"/>
    <mergeCell ref="C24:D24"/>
    <mergeCell ref="M49:M50"/>
    <mergeCell ref="N49:N50"/>
    <mergeCell ref="F49:F50"/>
    <mergeCell ref="G49:G50"/>
    <mergeCell ref="H49:H50"/>
    <mergeCell ref="I49:I50"/>
    <mergeCell ref="J49:J50"/>
    <mergeCell ref="K49:K50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1" r:id="rId2"/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broni_m</cp:lastModifiedBy>
  <cp:lastPrinted>2011-11-17T10:45:50Z</cp:lastPrinted>
  <dcterms:created xsi:type="dcterms:W3CDTF">2010-09-17T02:30:46Z</dcterms:created>
  <dcterms:modified xsi:type="dcterms:W3CDTF">2011-12-28T11:30:34Z</dcterms:modified>
  <cp:category/>
  <cp:version/>
  <cp:contentType/>
  <cp:contentStatus/>
</cp:coreProperties>
</file>