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K9" authorId="0">
      <text>
        <r>
          <rPr>
            <sz val="10"/>
            <color indexed="10"/>
            <rFont val="Arial CE"/>
            <family val="2"/>
          </rPr>
          <t>(-150 000</t>
        </r>
        <r>
          <rPr>
            <sz val="10"/>
            <rFont val="Arial CE"/>
            <family val="2"/>
          </rPr>
          <t>)- uchwała XXIX/30/08 z dn 31.03.08</t>
        </r>
      </text>
    </comment>
    <comment ref="K10" authorId="0">
      <text>
        <r>
          <rPr>
            <sz val="10"/>
            <color indexed="18"/>
            <rFont val="Arial CE"/>
            <family val="2"/>
          </rPr>
          <t>(+455000)</t>
        </r>
        <r>
          <rPr>
            <sz val="10"/>
            <rFont val="Arial CE"/>
            <family val="2"/>
          </rPr>
          <t xml:space="preserve"> uchwała z dn 10.06.08</t>
        </r>
      </text>
    </comment>
    <comment ref="K11" authorId="0">
      <text>
        <r>
          <rPr>
            <sz val="10"/>
            <color indexed="18"/>
            <rFont val="Arial CE"/>
            <family val="2"/>
          </rPr>
          <t xml:space="preserve">(+523000) </t>
        </r>
        <r>
          <rPr>
            <sz val="10"/>
            <color indexed="8"/>
            <rFont val="Arial CE"/>
            <family val="2"/>
          </rPr>
          <t>uchwała z dn 10.06.08</t>
        </r>
      </text>
    </comment>
    <comment ref="K14" authorId="0">
      <text>
        <r>
          <rPr>
            <sz val="10"/>
            <color indexed="18"/>
            <rFont val="Arial CE"/>
            <family val="2"/>
          </rPr>
          <t>(+25000)</t>
        </r>
        <r>
          <rPr>
            <sz val="10"/>
            <rFont val="Arial CE"/>
            <family val="2"/>
          </rPr>
          <t xml:space="preserve"> </t>
        </r>
        <r>
          <rPr>
            <sz val="10"/>
            <color indexed="8"/>
            <rFont val="Arial CE"/>
            <family val="2"/>
          </rPr>
          <t>uchwała z dn 10.06.08</t>
        </r>
      </text>
    </comment>
    <comment ref="K33" authorId="0">
      <text>
        <r>
          <rPr>
            <sz val="10"/>
            <color indexed="49"/>
            <rFont val="Arial CE"/>
            <family val="2"/>
          </rPr>
          <t>(</t>
        </r>
        <r>
          <rPr>
            <sz val="10"/>
            <color indexed="18"/>
            <rFont val="Arial CE"/>
            <family val="2"/>
          </rPr>
          <t>+600000)</t>
        </r>
        <r>
          <rPr>
            <sz val="10"/>
            <color indexed="8"/>
            <rFont val="Arial CE"/>
            <family val="2"/>
          </rPr>
          <t xml:space="preserve"> uchwała z dn 10.06.08</t>
        </r>
      </text>
    </comment>
    <comment ref="L34" authorId="0">
      <text>
        <r>
          <rPr>
            <sz val="10"/>
            <color indexed="18"/>
            <rFont val="Arial CE"/>
            <family val="2"/>
          </rPr>
          <t xml:space="preserve">(+405000) </t>
        </r>
        <r>
          <rPr>
            <sz val="10"/>
            <rFont val="Arial CE"/>
            <family val="2"/>
          </rPr>
          <t>uchwała z 10.06.08</t>
        </r>
      </text>
    </comment>
    <comment ref="L35" authorId="0">
      <text>
        <r>
          <rPr>
            <sz val="10"/>
            <color indexed="10"/>
            <rFont val="Arial CE"/>
            <family val="2"/>
          </rPr>
          <t>(-405000)</t>
        </r>
        <r>
          <rPr>
            <sz val="10"/>
            <rFont val="Arial CE"/>
            <family val="2"/>
          </rPr>
          <t xml:space="preserve"> uchwała z dn 10.06.2008</t>
        </r>
      </text>
    </comment>
    <comment ref="K36" authorId="0">
      <text>
        <r>
          <rPr>
            <sz val="10"/>
            <color indexed="10"/>
            <rFont val="Arial CE"/>
            <family val="2"/>
          </rPr>
          <t>(-1003000)</t>
        </r>
        <r>
          <rPr>
            <sz val="10"/>
            <rFont val="Arial CE"/>
            <family val="2"/>
          </rPr>
          <t xml:space="preserve"> uchwała z dn.10.06.08</t>
        </r>
      </text>
    </comment>
    <comment ref="L36" authorId="0">
      <text>
        <r>
          <rPr>
            <sz val="10"/>
            <color indexed="10"/>
            <rFont val="Arial CE"/>
            <family val="2"/>
          </rPr>
          <t>(-320000)</t>
        </r>
        <r>
          <rPr>
            <sz val="10"/>
            <rFont val="Arial CE"/>
            <family val="2"/>
          </rPr>
          <t xml:space="preserve"> uchwała z dn.28.04.08</t>
        </r>
      </text>
    </comment>
  </commentList>
</comments>
</file>

<file path=xl/sharedStrings.xml><?xml version="1.0" encoding="utf-8"?>
<sst xmlns="http://schemas.openxmlformats.org/spreadsheetml/2006/main" count="143" uniqueCount="89">
  <si>
    <t>Załącznik Nr 3</t>
  </si>
  <si>
    <t xml:space="preserve">       Plan  nakładów na realizację zadań inwestycyjnych z zakresu gospodarki drogowej w 2008 roku                                                                                           </t>
  </si>
  <si>
    <t>załącznik nr 4a</t>
  </si>
  <si>
    <t xml:space="preserve">              Planowane nakłady na realizację zadań na 2008 rok                                     </t>
  </si>
  <si>
    <t xml:space="preserve">           Źródła finansowania</t>
  </si>
  <si>
    <t>Nr zada- nia</t>
  </si>
  <si>
    <t>Nazwa zadania inwestycyjnego</t>
  </si>
  <si>
    <t xml:space="preserve">Zakres rzeczowy zadania </t>
  </si>
  <si>
    <t>Terminy rozpoczęcia, zakończenia</t>
  </si>
  <si>
    <t>Wartość całkowita zadania inwestyc.</t>
  </si>
  <si>
    <t>Wartość nakładów poniesionych do 31.12.2006.</t>
  </si>
  <si>
    <t>Przewidywana wartość nakładów poniesionych w 2007 r.</t>
  </si>
  <si>
    <t>Wartość zadania kontynuow.</t>
  </si>
  <si>
    <t>Wartość zadania noworozp.</t>
  </si>
  <si>
    <t>Wartość ogółem  8+9 = 11+12+13 + śr.z umorzenia</t>
  </si>
  <si>
    <t>środki włsne /budżet Miasta/</t>
  </si>
  <si>
    <t xml:space="preserve">kredyty i pożyczki     </t>
  </si>
  <si>
    <t>dotacje</t>
  </si>
  <si>
    <t>Jednostka organizacyjna realizująca zadanie. Uwagi</t>
  </si>
  <si>
    <t>I</t>
  </si>
  <si>
    <t>Dział 600               Transport i Łączność</t>
  </si>
  <si>
    <t>Rozdział 60016 Drogi publiczne gminne</t>
  </si>
  <si>
    <t xml:space="preserve">Przebudowa dróg gminnych Rzeczna </t>
  </si>
  <si>
    <t xml:space="preserve">Wykonanie projektu i realizacja </t>
  </si>
  <si>
    <t>Urząd Miasta</t>
  </si>
  <si>
    <t>Przebudowa dróg gminnych ul. Sosnowa</t>
  </si>
  <si>
    <t>Wykonanie projektu i realizacja</t>
  </si>
  <si>
    <t>Przebudowa dróg gminnych ul. Feliksów</t>
  </si>
  <si>
    <t>Przebudowa dróg gminnych ul. Asnyka - od ul. Iwaszkiewicza do ul. Łuczyńskiego oraz parking przy budynku 78.</t>
  </si>
  <si>
    <t>2008-2009</t>
  </si>
  <si>
    <t>Nawierzchnie bitumiczne na drogach gminnych</t>
  </si>
  <si>
    <t>wykonanie robót budowlanych w ul. Jaskółczej</t>
  </si>
  <si>
    <t>Podbudowy na drogach gminnych</t>
  </si>
  <si>
    <t>wykonanie robót budowlanych w sięgaczu  ul. Trzcińskiej – wg  projektu wyk. przez P. Rdesta</t>
  </si>
  <si>
    <t>Obwodnica wschodnia</t>
  </si>
  <si>
    <t>Budowa odcinka od ul. Mszczonowskiej do ul. Unii Europejskiej</t>
  </si>
  <si>
    <t>2007/2013</t>
  </si>
  <si>
    <t>Wykonanie podbudowy pod nakładki bitumiczne w ulicach Artyreryjska,Powstańców Warszawy, Szwoleżerów, Ułańska</t>
  </si>
  <si>
    <t>wykonanie  projektu budowlanego,wykonanie robót budowlanych w ulicach: Artyreryjska,Powstańców Warszawy,Szwoleżerów,Ułańskiej</t>
  </si>
  <si>
    <t>Wykonanie nakładki bitumicznej w ulicy Skrzypka</t>
  </si>
  <si>
    <t>wykonanie projektu budowlanego, wykonanie robót budowlanych w ul. Skrzypka</t>
  </si>
  <si>
    <t>Wykonanie sięgacza w ul. Skłodowskiej oraz w ul. Sułkowskiego i Kombatantów</t>
  </si>
  <si>
    <t>wykonanie projektu budowlanego, wykonanie robót budowlanychw sięgaczu ul. Skłodowskiej od nr 26 do nr 34</t>
  </si>
  <si>
    <t>Wykonanie parkingu przy ul. Działkowej</t>
  </si>
  <si>
    <t>wykonanie projektu budowlanego, wykonanie robót budowlanych - pow. Parkingu 1200m2</t>
  </si>
  <si>
    <t>Wykonanie nakładki bitumicznej wraz z zatokami parkingowymi w ul. Kap. Hali</t>
  </si>
  <si>
    <t>Wykonanie projektu budowlanego, wykonanie robót budowlanych</t>
  </si>
  <si>
    <t>Wykonanie nakładki bitumicznej w ul. Narbutta Łuczyńskiego, Asnyka</t>
  </si>
  <si>
    <t xml:space="preserve">Wykonanie podbudowy i nakładki bitumicznej w ul. Bratkowej </t>
  </si>
  <si>
    <t>wykonanie projektu budowlanego, wykonanie robót budowlanych</t>
  </si>
  <si>
    <t>Wykonanie podbudowy w ul. Miłej</t>
  </si>
  <si>
    <t>Wykonanie chodnika przy ul. Dabie</t>
  </si>
  <si>
    <t>Wykonanie chodnika przy ul. 500-lecia</t>
  </si>
  <si>
    <t>Wykonanie projektu budowlanego,wykonanie robót budowlanych</t>
  </si>
  <si>
    <t>Wykonanie chodnika przy ul. Długiej od ul. Rawskiej do ul. Mszczonowskiej</t>
  </si>
  <si>
    <t>wykonanie projektu budowlanego, wykonanie robót budowlanych ok.. 1200m</t>
  </si>
  <si>
    <t>Wykonanie chodnika przy ul. Tetmajera</t>
  </si>
  <si>
    <t>Wykonanie parkingu przy ul. Asnyka</t>
  </si>
  <si>
    <t>Wykonanie scieżki pieszo-rowerowej od ul. Dąbie do ulicy Zadębie wzdłuż Zalewu</t>
  </si>
  <si>
    <t>wykonanie projektu budowlanego , wykonanie robót budowlanych</t>
  </si>
  <si>
    <t>Wykonanie nakładki bitumicznej w ul. Sucharskiego</t>
  </si>
  <si>
    <t>wykonanie projektu budowlanego,wykonanie robót budowlanych</t>
  </si>
  <si>
    <t>Wykonanie nakładki bitumicznej w ulicy Pamiętnej</t>
  </si>
  <si>
    <t xml:space="preserve">Rozdział 60015  Drogi publiczne w miastach na prawach powiatu </t>
  </si>
  <si>
    <t>Modernizacja wiaduktu- północnej nitki</t>
  </si>
  <si>
    <t>roboty rozbiórkowe nawierzchni drogowej wraz z izolacją, rozbiórka zabudowy chodnikowej,  renowacja górnej powierzchni płyty pomostu pod prawostronną zabudową chodnikową</t>
  </si>
  <si>
    <t>Przebudowa drogi wojew. 707 - ul. Rawska</t>
  </si>
  <si>
    <t>Dokończenie prac projektowych oraz budowa ścieżki  rowerowej na odc. od ul. Koszarowej do ul. Granicznej</t>
  </si>
  <si>
    <t>Rozbudowa ul. M. Skłodowskiej - Curie w ciągu drogi wojewódzkiej nr 705 w Skierniewicach (odc. od ul. A. Krajowej do ul. Wyspiańskiego</t>
  </si>
  <si>
    <t>zakończenie prac projektowych i realizacja robót budowlanych</t>
  </si>
  <si>
    <t>2004/ 2008</t>
  </si>
  <si>
    <t>Urząd Miasta, przy założeniu, że zostanie podjęta  uchwała o niewygasających środkach na kwotę: 2465000zł izostaną pozyskane środki z UE.</t>
  </si>
  <si>
    <t xml:space="preserve">Rozbudowa ul.Widok od ul.Siennej do ul. Skłodowskiej  w ciągu drogi wojewódzkiej nr 705 w Skierniewicach </t>
  </si>
  <si>
    <t>Zakończenie prac projektowych, rozpoczęcie robót budowlanych</t>
  </si>
  <si>
    <t>2008/2009</t>
  </si>
  <si>
    <t>Urząd Miasta, przy założeniu,że zostaną pozyskane środki z UE.</t>
  </si>
  <si>
    <t>I etap obwodnicy zachodniej</t>
  </si>
  <si>
    <t>Wykonanie projektu budowlanego rozpoczęcie robót</t>
  </si>
  <si>
    <t>2007/ 2009</t>
  </si>
  <si>
    <t>Urząd Miasta, przy założeniu, że zostaną  pozyskane środki z UE</t>
  </si>
  <si>
    <t>Wykonanie chodników przy ul. Zadebie ( od ul. Górnej do ul. 500-lecia)</t>
  </si>
  <si>
    <t>Wykonanie chodnika przy ul. Makowskiej od ul. Nowomiejskiej do ul. Paderewskiego</t>
  </si>
  <si>
    <t>wykonanie projektu budpwlanego, wykonanie robót budowlanych</t>
  </si>
  <si>
    <t>Wykonanie chodnika w Alei Niepodległości od ul. Batorego do ul. Kopernika</t>
  </si>
  <si>
    <t>wykonanie projektu budowlanego, wykonanie robót budowlanych(ok..2500mb)</t>
  </si>
  <si>
    <t>Wykonanie chodnika przy ul. Mszczonowskiej od ul. Kopernika do ul. Rawskiej</t>
  </si>
  <si>
    <t>wykonanie projektu budowlanego,wykonanie robót budowlanych - ok.2500m</t>
  </si>
  <si>
    <t>Wykonanie chodnika przy ul. Reymonta od ul. Mszczonowskiej do ul. Rybickiego</t>
  </si>
  <si>
    <t>Projekty i koncepcje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</si>
</sst>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0"/>
      <color indexed="10"/>
      <name val="Arial CE"/>
      <family val="2"/>
    </font>
    <font>
      <sz val="10"/>
      <name val="Arial CE"/>
      <family val="2"/>
    </font>
    <font>
      <sz val="10"/>
      <color indexed="18"/>
      <name val="Arial CE"/>
      <family val="2"/>
    </font>
    <font>
      <sz val="10"/>
      <color indexed="8"/>
      <name val="Arial CE"/>
      <family val="2"/>
    </font>
    <font>
      <sz val="10"/>
      <color indexed="49"/>
      <name val="Arial CE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wrapText="1"/>
    </xf>
    <xf numFmtId="1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/>
    </xf>
    <xf numFmtId="3" fontId="2" fillId="6" borderId="1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3" fontId="1" fillId="7" borderId="1" xfId="0" applyNumberFormat="1" applyFont="1" applyFill="1" applyBorder="1" applyAlignment="1">
      <alignment wrapText="1"/>
    </xf>
    <xf numFmtId="1" fontId="1" fillId="7" borderId="1" xfId="0" applyNumberFormat="1" applyFont="1" applyFill="1" applyBorder="1" applyAlignment="1">
      <alignment horizontal="center" wrapText="1"/>
    </xf>
    <xf numFmtId="3" fontId="1" fillId="7" borderId="1" xfId="0" applyNumberFormat="1" applyFont="1" applyFill="1" applyBorder="1" applyAlignment="1">
      <alignment/>
    </xf>
    <xf numFmtId="3" fontId="1" fillId="7" borderId="1" xfId="0" applyNumberFormat="1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wrapText="1"/>
    </xf>
    <xf numFmtId="1" fontId="1" fillId="4" borderId="3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 horizontal="center" wrapText="1"/>
    </xf>
    <xf numFmtId="3" fontId="1" fillId="4" borderId="4" xfId="0" applyNumberFormat="1" applyFont="1" applyFill="1" applyBorder="1" applyAlignment="1">
      <alignment horizontal="center" wrapText="1"/>
    </xf>
    <xf numFmtId="3" fontId="1" fillId="7" borderId="5" xfId="0" applyNumberFormat="1" applyFont="1" applyFill="1" applyBorder="1" applyAlignment="1">
      <alignment/>
    </xf>
    <xf numFmtId="3" fontId="1" fillId="7" borderId="5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 wrapText="1"/>
    </xf>
    <xf numFmtId="3" fontId="1" fillId="4" borderId="7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:O43"/>
    </sheetView>
  </sheetViews>
  <sheetFormatPr defaultColWidth="9.140625" defaultRowHeight="12.75"/>
  <sheetData>
    <row r="1" spans="1:15" ht="12.75">
      <c r="A1" s="1"/>
      <c r="B1" s="2" t="s">
        <v>0</v>
      </c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4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 t="s">
        <v>2</v>
      </c>
      <c r="N2" s="2"/>
      <c r="O2" s="2"/>
    </row>
    <row r="3" spans="1:15" ht="12.75">
      <c r="A3" s="1"/>
      <c r="B3" s="2"/>
      <c r="C3" s="2"/>
      <c r="D3" s="3"/>
      <c r="E3" s="2"/>
      <c r="F3" s="2"/>
      <c r="G3" s="2" t="s">
        <v>3</v>
      </c>
      <c r="H3" s="2"/>
      <c r="I3" s="2"/>
      <c r="J3" s="2"/>
      <c r="K3" s="2"/>
      <c r="L3" s="2"/>
      <c r="M3" s="2"/>
      <c r="N3" s="2"/>
      <c r="O3" s="2"/>
    </row>
    <row r="4" spans="1:15" ht="12.75">
      <c r="A4" s="5"/>
      <c r="B4" s="6"/>
      <c r="C4" s="6"/>
      <c r="D4" s="7"/>
      <c r="E4" s="6"/>
      <c r="F4" s="6"/>
      <c r="G4" s="6"/>
      <c r="H4" s="6"/>
      <c r="I4" s="6"/>
      <c r="J4" s="6"/>
      <c r="K4" s="8" t="s">
        <v>4</v>
      </c>
      <c r="L4" s="8"/>
      <c r="M4" s="8"/>
      <c r="N4" s="9"/>
      <c r="O4" s="10"/>
    </row>
    <row r="5" spans="1:15" ht="52.5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2" t="s">
        <v>18</v>
      </c>
      <c r="O5" s="13"/>
    </row>
    <row r="6" spans="1:15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9">
        <v>14</v>
      </c>
      <c r="O6" s="10"/>
    </row>
    <row r="7" spans="1:15" ht="31.5">
      <c r="A7" s="14" t="s">
        <v>19</v>
      </c>
      <c r="B7" s="15" t="s">
        <v>20</v>
      </c>
      <c r="C7" s="16"/>
      <c r="D7" s="17"/>
      <c r="E7" s="16">
        <f>E8+E32</f>
        <v>68380904</v>
      </c>
      <c r="F7" s="16">
        <f>F8+F32</f>
        <v>112818</v>
      </c>
      <c r="G7" s="16">
        <f>G8+G32</f>
        <v>2465176</v>
      </c>
      <c r="H7" s="16">
        <f>H8+H32</f>
        <v>2423488</v>
      </c>
      <c r="I7" s="16">
        <f>I8+I32</f>
        <v>16895748</v>
      </c>
      <c r="J7" s="16">
        <f>SUM(K7:M7)</f>
        <v>19319236</v>
      </c>
      <c r="K7" s="16">
        <f>K8+K32</f>
        <v>17319236</v>
      </c>
      <c r="L7" s="16">
        <f>L8+L32</f>
        <v>0</v>
      </c>
      <c r="M7" s="16">
        <f>M8+M32</f>
        <v>2000000</v>
      </c>
      <c r="N7" s="18"/>
      <c r="O7" s="19"/>
    </row>
    <row r="8" spans="1:15" ht="52.5">
      <c r="A8" s="20"/>
      <c r="B8" s="21"/>
      <c r="C8" s="22" t="s">
        <v>21</v>
      </c>
      <c r="D8" s="23"/>
      <c r="E8" s="21">
        <f>SUM(E9:E31)</f>
        <v>37409698</v>
      </c>
      <c r="F8" s="21">
        <f>SUM(F9:F31)</f>
        <v>0</v>
      </c>
      <c r="G8" s="21">
        <f>SUM(G9:G31)</f>
        <v>0</v>
      </c>
      <c r="H8" s="21">
        <f>SUM(H9:H31)</f>
        <v>0</v>
      </c>
      <c r="I8" s="21">
        <f>SUM(I9:I31)</f>
        <v>8382278</v>
      </c>
      <c r="J8" s="21">
        <f>SUM(K8:M8)</f>
        <v>8382278</v>
      </c>
      <c r="K8" s="21">
        <f>SUM(K9:K31)</f>
        <v>6382278</v>
      </c>
      <c r="L8" s="21">
        <f>SUM(L9:L31)</f>
        <v>0</v>
      </c>
      <c r="M8" s="21">
        <f>SUM(M9:M31)</f>
        <v>2000000</v>
      </c>
      <c r="N8" s="24"/>
      <c r="O8" s="25"/>
    </row>
    <row r="9" spans="1:15" ht="42">
      <c r="A9" s="26">
        <v>1</v>
      </c>
      <c r="B9" s="27" t="s">
        <v>22</v>
      </c>
      <c r="C9" s="27" t="s">
        <v>23</v>
      </c>
      <c r="D9" s="28">
        <v>2008</v>
      </c>
      <c r="E9" s="27">
        <f>700000-200000-150000-18020</f>
        <v>331980</v>
      </c>
      <c r="F9" s="29">
        <v>0</v>
      </c>
      <c r="G9" s="29">
        <v>0</v>
      </c>
      <c r="H9" s="27">
        <v>0</v>
      </c>
      <c r="I9" s="27">
        <f>E9-F9-G9</f>
        <v>331980</v>
      </c>
      <c r="J9" s="27">
        <f aca="true" t="shared" si="0" ref="J9:J15">SUM(K9:N9)</f>
        <v>331980</v>
      </c>
      <c r="K9" s="27">
        <f>700000-200000-150000-18020</f>
        <v>331980</v>
      </c>
      <c r="L9" s="27">
        <v>0</v>
      </c>
      <c r="M9" s="27">
        <v>0</v>
      </c>
      <c r="N9" s="30" t="s">
        <v>24</v>
      </c>
      <c r="O9" s="31"/>
    </row>
    <row r="10" spans="1:15" ht="42">
      <c r="A10" s="11">
        <v>2</v>
      </c>
      <c r="B10" s="32" t="s">
        <v>25</v>
      </c>
      <c r="C10" s="27" t="s">
        <v>26</v>
      </c>
      <c r="D10" s="28">
        <v>2008</v>
      </c>
      <c r="E10" s="27">
        <f>(630000-100000)+455000-23995</f>
        <v>961005</v>
      </c>
      <c r="F10" s="29">
        <v>0</v>
      </c>
      <c r="G10" s="29">
        <v>0</v>
      </c>
      <c r="H10" s="27">
        <v>0</v>
      </c>
      <c r="I10" s="27">
        <f>E10-F10-G10</f>
        <v>961005</v>
      </c>
      <c r="J10" s="27">
        <f t="shared" si="0"/>
        <v>961005</v>
      </c>
      <c r="K10" s="27">
        <f>(630000-100000)+455000-23995</f>
        <v>961005</v>
      </c>
      <c r="L10" s="27">
        <v>0</v>
      </c>
      <c r="M10" s="27">
        <v>0</v>
      </c>
      <c r="N10" s="30" t="s">
        <v>24</v>
      </c>
      <c r="O10" s="31"/>
    </row>
    <row r="11" spans="1:15" ht="42">
      <c r="A11" s="11">
        <v>3</v>
      </c>
      <c r="B11" s="32" t="s">
        <v>27</v>
      </c>
      <c r="C11" s="27" t="s">
        <v>26</v>
      </c>
      <c r="D11" s="28">
        <v>2008</v>
      </c>
      <c r="E11" s="27">
        <f>(1500000-300000+523000)-55841</f>
        <v>1667159</v>
      </c>
      <c r="F11" s="29">
        <v>0</v>
      </c>
      <c r="G11" s="29">
        <v>0</v>
      </c>
      <c r="H11" s="27">
        <v>0</v>
      </c>
      <c r="I11" s="27">
        <f>E11-F11-G11</f>
        <v>1667159</v>
      </c>
      <c r="J11" s="27">
        <f t="shared" si="0"/>
        <v>1667159</v>
      </c>
      <c r="K11" s="27">
        <f>(1500000-300000)+523000-55841</f>
        <v>1667159</v>
      </c>
      <c r="L11" s="27">
        <v>0</v>
      </c>
      <c r="M11" s="27">
        <v>0</v>
      </c>
      <c r="N11" s="30" t="s">
        <v>24</v>
      </c>
      <c r="O11" s="31"/>
    </row>
    <row r="12" spans="1:15" ht="115.5">
      <c r="A12" s="26">
        <v>4</v>
      </c>
      <c r="B12" s="32" t="s">
        <v>28</v>
      </c>
      <c r="C12" s="27" t="s">
        <v>26</v>
      </c>
      <c r="D12" s="28" t="s">
        <v>29</v>
      </c>
      <c r="E12" s="27">
        <v>700000</v>
      </c>
      <c r="F12" s="29">
        <v>0</v>
      </c>
      <c r="G12" s="29">
        <v>0</v>
      </c>
      <c r="H12" s="27">
        <v>0</v>
      </c>
      <c r="I12" s="27">
        <f>J12</f>
        <v>130000</v>
      </c>
      <c r="J12" s="27">
        <f t="shared" si="0"/>
        <v>130000</v>
      </c>
      <c r="K12" s="27">
        <f>700000-570000</f>
        <v>130000</v>
      </c>
      <c r="L12" s="27">
        <v>0</v>
      </c>
      <c r="M12" s="27">
        <v>0</v>
      </c>
      <c r="N12" s="30" t="s">
        <v>24</v>
      </c>
      <c r="O12" s="31"/>
    </row>
    <row r="13" spans="1:15" ht="52.5">
      <c r="A13" s="11">
        <v>5</v>
      </c>
      <c r="B13" s="27" t="s">
        <v>30</v>
      </c>
      <c r="C13" s="27" t="s">
        <v>31</v>
      </c>
      <c r="D13" s="33">
        <v>2008</v>
      </c>
      <c r="E13" s="29">
        <v>84732</v>
      </c>
      <c r="F13" s="29">
        <v>0</v>
      </c>
      <c r="G13" s="29">
        <v>0</v>
      </c>
      <c r="H13" s="29">
        <v>0</v>
      </c>
      <c r="I13" s="29">
        <f>K13</f>
        <v>84732</v>
      </c>
      <c r="J13" s="27">
        <f t="shared" si="0"/>
        <v>84732</v>
      </c>
      <c r="K13" s="29">
        <f>100000-15000-268</f>
        <v>84732</v>
      </c>
      <c r="L13" s="29">
        <v>0</v>
      </c>
      <c r="M13" s="29">
        <v>0</v>
      </c>
      <c r="N13" s="30" t="s">
        <v>24</v>
      </c>
      <c r="O13" s="31"/>
    </row>
    <row r="14" spans="1:15" ht="94.5">
      <c r="A14" s="11">
        <v>6</v>
      </c>
      <c r="B14" s="27" t="s">
        <v>32</v>
      </c>
      <c r="C14" s="32" t="s">
        <v>33</v>
      </c>
      <c r="D14" s="28">
        <v>2008</v>
      </c>
      <c r="E14" s="29">
        <f>150000+25000-2947</f>
        <v>172053</v>
      </c>
      <c r="F14" s="27">
        <v>0</v>
      </c>
      <c r="G14" s="29">
        <v>0</v>
      </c>
      <c r="H14" s="29">
        <v>0</v>
      </c>
      <c r="I14" s="29">
        <f>E14-F14-G14</f>
        <v>172053</v>
      </c>
      <c r="J14" s="29">
        <f t="shared" si="0"/>
        <v>172053</v>
      </c>
      <c r="K14" s="29">
        <f>150000+25000-2947</f>
        <v>172053</v>
      </c>
      <c r="L14" s="29">
        <v>0</v>
      </c>
      <c r="M14" s="29">
        <v>0</v>
      </c>
      <c r="N14" s="30" t="s">
        <v>24</v>
      </c>
      <c r="O14" s="31"/>
    </row>
    <row r="15" spans="1:15" ht="52.5">
      <c r="A15" s="26">
        <v>7</v>
      </c>
      <c r="B15" s="34" t="s">
        <v>34</v>
      </c>
      <c r="C15" s="32" t="s">
        <v>35</v>
      </c>
      <c r="D15" s="35" t="s">
        <v>36</v>
      </c>
      <c r="E15" s="32">
        <v>27000000</v>
      </c>
      <c r="F15" s="32">
        <v>0</v>
      </c>
      <c r="G15" s="32">
        <v>0</v>
      </c>
      <c r="H15" s="32">
        <v>0</v>
      </c>
      <c r="I15" s="32">
        <f>J15</f>
        <v>4203580</v>
      </c>
      <c r="J15" s="29">
        <f t="shared" si="0"/>
        <v>4203580</v>
      </c>
      <c r="K15" s="32">
        <f>685000+1715000-196420</f>
        <v>2203580</v>
      </c>
      <c r="L15" s="32"/>
      <c r="M15" s="32">
        <v>2000000</v>
      </c>
      <c r="N15" s="30" t="s">
        <v>24</v>
      </c>
      <c r="O15" s="31"/>
    </row>
    <row r="16" spans="1:15" ht="126">
      <c r="A16" s="11">
        <v>8</v>
      </c>
      <c r="B16" s="32" t="s">
        <v>37</v>
      </c>
      <c r="C16" s="32" t="s">
        <v>38</v>
      </c>
      <c r="D16" s="36" t="s">
        <v>29</v>
      </c>
      <c r="E16" s="6">
        <f>1400000-151200</f>
        <v>1248800</v>
      </c>
      <c r="F16" s="32">
        <v>0</v>
      </c>
      <c r="G16" s="6">
        <v>0</v>
      </c>
      <c r="H16" s="6">
        <v>0</v>
      </c>
      <c r="I16" s="6">
        <f aca="true" t="shared" si="1" ref="I16:I31">J16</f>
        <v>48800</v>
      </c>
      <c r="J16" s="6">
        <f aca="true" t="shared" si="2" ref="J16:J31">SUM(K16:M16)</f>
        <v>48800</v>
      </c>
      <c r="K16" s="6">
        <f>1400000-810000-540000-1200</f>
        <v>48800</v>
      </c>
      <c r="L16" s="6">
        <v>0</v>
      </c>
      <c r="M16" s="6">
        <v>0</v>
      </c>
      <c r="N16" s="37" t="s">
        <v>24</v>
      </c>
      <c r="O16" s="38"/>
    </row>
    <row r="17" spans="1:15" ht="73.5">
      <c r="A17" s="26">
        <v>9</v>
      </c>
      <c r="B17" s="32" t="s">
        <v>39</v>
      </c>
      <c r="C17" s="32" t="s">
        <v>40</v>
      </c>
      <c r="D17" s="39" t="s">
        <v>29</v>
      </c>
      <c r="E17" s="6">
        <f>110000+118296</f>
        <v>228296</v>
      </c>
      <c r="F17" s="6">
        <v>0</v>
      </c>
      <c r="G17" s="6">
        <v>0</v>
      </c>
      <c r="H17" s="6">
        <v>0</v>
      </c>
      <c r="I17" s="6">
        <f t="shared" si="1"/>
        <v>8296</v>
      </c>
      <c r="J17" s="32">
        <f t="shared" si="2"/>
        <v>8296</v>
      </c>
      <c r="K17" s="6">
        <f>110000-101000-704</f>
        <v>8296</v>
      </c>
      <c r="L17" s="6">
        <v>0</v>
      </c>
      <c r="M17" s="6">
        <v>0</v>
      </c>
      <c r="N17" s="37" t="s">
        <v>24</v>
      </c>
      <c r="O17" s="38"/>
    </row>
    <row r="18" spans="1:15" ht="105">
      <c r="A18" s="11">
        <v>10</v>
      </c>
      <c r="B18" s="32" t="s">
        <v>41</v>
      </c>
      <c r="C18" s="32" t="s">
        <v>42</v>
      </c>
      <c r="D18" s="36" t="s">
        <v>29</v>
      </c>
      <c r="E18" s="32">
        <f>75000+401710</f>
        <v>476710</v>
      </c>
      <c r="F18" s="6">
        <v>0</v>
      </c>
      <c r="G18" s="6">
        <v>0</v>
      </c>
      <c r="H18" s="32">
        <v>0</v>
      </c>
      <c r="I18" s="32">
        <f t="shared" si="1"/>
        <v>6710</v>
      </c>
      <c r="J18" s="32">
        <f t="shared" si="2"/>
        <v>6710</v>
      </c>
      <c r="K18" s="32">
        <f>75000-68000-290</f>
        <v>6710</v>
      </c>
      <c r="L18" s="32">
        <v>0</v>
      </c>
      <c r="M18" s="32">
        <v>0</v>
      </c>
      <c r="N18" s="37" t="s">
        <v>24</v>
      </c>
      <c r="O18" s="38"/>
    </row>
    <row r="19" spans="1:15" ht="84">
      <c r="A19" s="26">
        <v>11</v>
      </c>
      <c r="B19" s="32" t="s">
        <v>43</v>
      </c>
      <c r="C19" s="32" t="s">
        <v>44</v>
      </c>
      <c r="D19" s="36" t="s">
        <v>29</v>
      </c>
      <c r="E19" s="32">
        <f>150000+104640</f>
        <v>254640</v>
      </c>
      <c r="F19" s="6">
        <v>0</v>
      </c>
      <c r="G19" s="6">
        <v>0</v>
      </c>
      <c r="H19" s="32">
        <v>0</v>
      </c>
      <c r="I19" s="32">
        <f t="shared" si="1"/>
        <v>14640</v>
      </c>
      <c r="J19" s="32">
        <f t="shared" si="2"/>
        <v>14640</v>
      </c>
      <c r="K19" s="32">
        <f>150000-90000-45000-360</f>
        <v>14640</v>
      </c>
      <c r="L19" s="32">
        <v>0</v>
      </c>
      <c r="M19" s="32">
        <v>0</v>
      </c>
      <c r="N19" s="37" t="s">
        <v>24</v>
      </c>
      <c r="O19" s="38"/>
    </row>
    <row r="20" spans="1:15" ht="84">
      <c r="A20" s="11">
        <v>12</v>
      </c>
      <c r="B20" s="32" t="s">
        <v>45</v>
      </c>
      <c r="C20" s="32" t="s">
        <v>46</v>
      </c>
      <c r="D20" s="36" t="s">
        <v>29</v>
      </c>
      <c r="E20" s="32">
        <f>200000+81960</f>
        <v>281960</v>
      </c>
      <c r="F20" s="6">
        <v>0</v>
      </c>
      <c r="G20" s="6">
        <v>0</v>
      </c>
      <c r="H20" s="32">
        <v>0</v>
      </c>
      <c r="I20" s="32">
        <f t="shared" si="1"/>
        <v>21960</v>
      </c>
      <c r="J20" s="32">
        <f t="shared" si="2"/>
        <v>21960</v>
      </c>
      <c r="K20" s="32">
        <f>200000-178000-40</f>
        <v>21960</v>
      </c>
      <c r="L20" s="32">
        <v>0</v>
      </c>
      <c r="M20" s="32">
        <v>0</v>
      </c>
      <c r="N20" s="37" t="s">
        <v>24</v>
      </c>
      <c r="O20" s="38"/>
    </row>
    <row r="21" spans="1:15" ht="63">
      <c r="A21" s="26">
        <v>13</v>
      </c>
      <c r="B21" s="32" t="s">
        <v>47</v>
      </c>
      <c r="C21" s="32" t="s">
        <v>46</v>
      </c>
      <c r="D21" s="39" t="s">
        <v>29</v>
      </c>
      <c r="E21" s="6">
        <f>330000+21960</f>
        <v>351960</v>
      </c>
      <c r="F21" s="6">
        <v>0</v>
      </c>
      <c r="G21" s="6">
        <v>0</v>
      </c>
      <c r="H21" s="6">
        <v>0</v>
      </c>
      <c r="I21" s="6">
        <f t="shared" si="1"/>
        <v>21960</v>
      </c>
      <c r="J21" s="6">
        <f t="shared" si="2"/>
        <v>21960</v>
      </c>
      <c r="K21" s="6">
        <f>330000-308000-40</f>
        <v>21960</v>
      </c>
      <c r="L21" s="6">
        <v>0</v>
      </c>
      <c r="M21" s="6">
        <v>0</v>
      </c>
      <c r="N21" s="37" t="s">
        <v>24</v>
      </c>
      <c r="O21" s="38"/>
    </row>
    <row r="22" spans="1:15" ht="63">
      <c r="A22" s="11">
        <v>14</v>
      </c>
      <c r="B22" s="32" t="s">
        <v>48</v>
      </c>
      <c r="C22" s="32" t="s">
        <v>49</v>
      </c>
      <c r="D22" s="39" t="s">
        <v>29</v>
      </c>
      <c r="E22" s="6">
        <f>640000+74640</f>
        <v>714640</v>
      </c>
      <c r="F22" s="6">
        <v>0</v>
      </c>
      <c r="G22" s="6">
        <v>0</v>
      </c>
      <c r="H22" s="6">
        <v>0</v>
      </c>
      <c r="I22" s="6">
        <f t="shared" si="1"/>
        <v>14640</v>
      </c>
      <c r="J22" s="6">
        <f t="shared" si="2"/>
        <v>14640</v>
      </c>
      <c r="K22" s="6">
        <f>640000-625000-360</f>
        <v>14640</v>
      </c>
      <c r="L22" s="6">
        <v>0</v>
      </c>
      <c r="M22" s="6">
        <v>0</v>
      </c>
      <c r="N22" s="37" t="s">
        <v>24</v>
      </c>
      <c r="O22" s="38"/>
    </row>
    <row r="23" spans="1:15" ht="63">
      <c r="A23" s="26">
        <v>15</v>
      </c>
      <c r="B23" s="32" t="s">
        <v>50</v>
      </c>
      <c r="C23" s="32" t="s">
        <v>46</v>
      </c>
      <c r="D23" s="39" t="s">
        <v>29</v>
      </c>
      <c r="E23" s="6">
        <f>500000+20740</f>
        <v>520740</v>
      </c>
      <c r="F23" s="6">
        <v>0</v>
      </c>
      <c r="G23" s="6">
        <v>0</v>
      </c>
      <c r="H23" s="6">
        <v>0</v>
      </c>
      <c r="I23" s="6">
        <f t="shared" si="1"/>
        <v>20740</v>
      </c>
      <c r="J23" s="6">
        <f t="shared" si="2"/>
        <v>20740</v>
      </c>
      <c r="K23" s="6">
        <f>500000-401000-78000-260</f>
        <v>20740</v>
      </c>
      <c r="L23" s="6">
        <v>0</v>
      </c>
      <c r="M23" s="6">
        <v>0</v>
      </c>
      <c r="N23" s="37" t="s">
        <v>24</v>
      </c>
      <c r="O23" s="38"/>
    </row>
    <row r="24" spans="1:15" ht="63">
      <c r="A24" s="11">
        <v>16</v>
      </c>
      <c r="B24" s="32" t="s">
        <v>51</v>
      </c>
      <c r="C24" s="32" t="s">
        <v>49</v>
      </c>
      <c r="D24" s="39">
        <v>2008</v>
      </c>
      <c r="E24" s="6">
        <f>252000-30817-25330</f>
        <v>195853</v>
      </c>
      <c r="F24" s="6">
        <v>0</v>
      </c>
      <c r="G24" s="6">
        <v>0</v>
      </c>
      <c r="H24" s="6">
        <v>0</v>
      </c>
      <c r="I24" s="6">
        <f t="shared" si="1"/>
        <v>195853</v>
      </c>
      <c r="J24" s="6">
        <f t="shared" si="2"/>
        <v>195853</v>
      </c>
      <c r="K24" s="6">
        <f>95000+157000-30817-25330</f>
        <v>195853</v>
      </c>
      <c r="L24" s="6">
        <v>0</v>
      </c>
      <c r="M24" s="6">
        <v>0</v>
      </c>
      <c r="N24" s="37" t="s">
        <v>24</v>
      </c>
      <c r="O24" s="38"/>
    </row>
    <row r="25" spans="1:15" ht="63">
      <c r="A25" s="26">
        <v>17</v>
      </c>
      <c r="B25" s="32" t="s">
        <v>52</v>
      </c>
      <c r="C25" s="32" t="s">
        <v>53</v>
      </c>
      <c r="D25" s="40">
        <v>2008</v>
      </c>
      <c r="E25" s="32">
        <f>I25</f>
        <v>100409</v>
      </c>
      <c r="F25" s="32">
        <v>0</v>
      </c>
      <c r="G25" s="32">
        <v>0</v>
      </c>
      <c r="H25" s="32">
        <v>0</v>
      </c>
      <c r="I25" s="32">
        <f t="shared" si="1"/>
        <v>100409</v>
      </c>
      <c r="J25" s="32">
        <f t="shared" si="2"/>
        <v>100409</v>
      </c>
      <c r="K25" s="32">
        <f>95000+17000-11591</f>
        <v>100409</v>
      </c>
      <c r="L25" s="32">
        <v>0</v>
      </c>
      <c r="M25" s="32">
        <v>0</v>
      </c>
      <c r="N25" s="37" t="s">
        <v>24</v>
      </c>
      <c r="O25" s="38"/>
    </row>
    <row r="26" spans="1:15" ht="73.5">
      <c r="A26" s="11">
        <v>18</v>
      </c>
      <c r="B26" s="32" t="s">
        <v>54</v>
      </c>
      <c r="C26" s="32" t="s">
        <v>55</v>
      </c>
      <c r="D26" s="39">
        <v>2008</v>
      </c>
      <c r="E26" s="6">
        <f>I26</f>
        <v>291141</v>
      </c>
      <c r="F26" s="6">
        <v>0</v>
      </c>
      <c r="G26" s="6">
        <v>0</v>
      </c>
      <c r="H26" s="6">
        <v>0</v>
      </c>
      <c r="I26" s="6">
        <f t="shared" si="1"/>
        <v>291141</v>
      </c>
      <c r="J26" s="6">
        <f t="shared" si="2"/>
        <v>291141</v>
      </c>
      <c r="K26" s="6">
        <f>170000+135000-13859</f>
        <v>291141</v>
      </c>
      <c r="L26" s="6">
        <v>0</v>
      </c>
      <c r="M26" s="6">
        <v>0</v>
      </c>
      <c r="N26" s="37" t="s">
        <v>24</v>
      </c>
      <c r="O26" s="38"/>
    </row>
    <row r="27" spans="1:15" ht="63">
      <c r="A27" s="26">
        <v>19</v>
      </c>
      <c r="B27" s="32" t="s">
        <v>56</v>
      </c>
      <c r="C27" s="32" t="s">
        <v>49</v>
      </c>
      <c r="D27" s="40" t="s">
        <v>29</v>
      </c>
      <c r="E27" s="32">
        <f>100000+721960</f>
        <v>821960</v>
      </c>
      <c r="F27" s="32">
        <v>0</v>
      </c>
      <c r="G27" s="32">
        <v>0</v>
      </c>
      <c r="H27" s="32">
        <v>0</v>
      </c>
      <c r="I27" s="32">
        <f t="shared" si="1"/>
        <v>21960</v>
      </c>
      <c r="J27" s="32">
        <f t="shared" si="2"/>
        <v>21960</v>
      </c>
      <c r="K27" s="32">
        <f>100000-78000-40</f>
        <v>21960</v>
      </c>
      <c r="L27" s="32">
        <v>0</v>
      </c>
      <c r="M27" s="32">
        <v>0</v>
      </c>
      <c r="N27" s="37" t="s">
        <v>24</v>
      </c>
      <c r="O27" s="38"/>
    </row>
    <row r="28" spans="1:15" ht="63">
      <c r="A28" s="11">
        <v>20</v>
      </c>
      <c r="B28" s="32" t="s">
        <v>57</v>
      </c>
      <c r="C28" s="32" t="s">
        <v>49</v>
      </c>
      <c r="D28" s="40" t="s">
        <v>29</v>
      </c>
      <c r="E28" s="32">
        <f>150000+15640</f>
        <v>165640</v>
      </c>
      <c r="F28" s="32">
        <v>0</v>
      </c>
      <c r="G28" s="32">
        <v>0</v>
      </c>
      <c r="H28" s="32">
        <v>0</v>
      </c>
      <c r="I28" s="32">
        <f t="shared" si="1"/>
        <v>14640</v>
      </c>
      <c r="J28" s="32">
        <f t="shared" si="2"/>
        <v>14640</v>
      </c>
      <c r="K28" s="32">
        <f>150000-135000-360</f>
        <v>14640</v>
      </c>
      <c r="L28" s="32">
        <v>0</v>
      </c>
      <c r="M28" s="32">
        <v>0</v>
      </c>
      <c r="N28" s="37" t="s">
        <v>24</v>
      </c>
      <c r="O28" s="38"/>
    </row>
    <row r="29" spans="1:15" ht="73.5">
      <c r="A29" s="26">
        <v>21</v>
      </c>
      <c r="B29" s="32" t="s">
        <v>58</v>
      </c>
      <c r="C29" s="32" t="s">
        <v>59</v>
      </c>
      <c r="D29" s="40" t="s">
        <v>29</v>
      </c>
      <c r="E29" s="32">
        <f>60000+59520</f>
        <v>119520</v>
      </c>
      <c r="F29" s="32">
        <v>0</v>
      </c>
      <c r="G29" s="32">
        <v>0</v>
      </c>
      <c r="H29" s="32">
        <v>0</v>
      </c>
      <c r="I29" s="32">
        <f t="shared" si="1"/>
        <v>19520</v>
      </c>
      <c r="J29" s="32">
        <f t="shared" si="2"/>
        <v>19520</v>
      </c>
      <c r="K29" s="32">
        <f>60000-40000-480</f>
        <v>19520</v>
      </c>
      <c r="L29" s="32">
        <v>0</v>
      </c>
      <c r="M29" s="32">
        <v>0</v>
      </c>
      <c r="N29" s="37" t="s">
        <v>24</v>
      </c>
      <c r="O29" s="38"/>
    </row>
    <row r="30" spans="1:15" ht="63">
      <c r="A30" s="11">
        <v>22</v>
      </c>
      <c r="B30" s="32" t="s">
        <v>60</v>
      </c>
      <c r="C30" s="32" t="s">
        <v>61</v>
      </c>
      <c r="D30" s="40" t="s">
        <v>29</v>
      </c>
      <c r="E30" s="32">
        <f>160000+408300</f>
        <v>568300</v>
      </c>
      <c r="F30" s="32">
        <v>0</v>
      </c>
      <c r="G30" s="32">
        <v>0</v>
      </c>
      <c r="H30" s="32">
        <v>0</v>
      </c>
      <c r="I30" s="32">
        <f t="shared" si="1"/>
        <v>18300</v>
      </c>
      <c r="J30" s="32">
        <f t="shared" si="2"/>
        <v>18300</v>
      </c>
      <c r="K30" s="32">
        <f>160000-141000-700</f>
        <v>18300</v>
      </c>
      <c r="L30" s="32">
        <v>0</v>
      </c>
      <c r="M30" s="32">
        <v>0</v>
      </c>
      <c r="N30" s="37" t="s">
        <v>24</v>
      </c>
      <c r="O30" s="38"/>
    </row>
    <row r="31" spans="1:15" ht="63">
      <c r="A31" s="26">
        <v>23</v>
      </c>
      <c r="B31" s="32" t="s">
        <v>62</v>
      </c>
      <c r="C31" s="32" t="s">
        <v>61</v>
      </c>
      <c r="D31" s="40" t="s">
        <v>29</v>
      </c>
      <c r="E31" s="32">
        <f>140000+12200</f>
        <v>152200</v>
      </c>
      <c r="F31" s="32">
        <v>0</v>
      </c>
      <c r="G31" s="32">
        <v>0</v>
      </c>
      <c r="H31" s="32">
        <v>0</v>
      </c>
      <c r="I31" s="32">
        <f t="shared" si="1"/>
        <v>12200</v>
      </c>
      <c r="J31" s="32">
        <f t="shared" si="2"/>
        <v>12200</v>
      </c>
      <c r="K31" s="32">
        <f>140000-127000-800</f>
        <v>12200</v>
      </c>
      <c r="L31" s="32">
        <v>0</v>
      </c>
      <c r="M31" s="32">
        <v>0</v>
      </c>
      <c r="N31" s="37" t="s">
        <v>24</v>
      </c>
      <c r="O31" s="38"/>
    </row>
    <row r="32" spans="1:15" ht="73.5">
      <c r="A32" s="41"/>
      <c r="B32" s="42"/>
      <c r="C32" s="42" t="s">
        <v>63</v>
      </c>
      <c r="D32" s="43"/>
      <c r="E32" s="44">
        <f>SUM(E33:E43)</f>
        <v>30971206</v>
      </c>
      <c r="F32" s="44">
        <f>SUM(F33:F42)</f>
        <v>112818</v>
      </c>
      <c r="G32" s="44">
        <f>SUM(G33:G42)</f>
        <v>2465176</v>
      </c>
      <c r="H32" s="44">
        <f>SUM(H33:H42)</f>
        <v>2423488</v>
      </c>
      <c r="I32" s="44">
        <f>SUM(I33:I43)</f>
        <v>8513470</v>
      </c>
      <c r="J32" s="44">
        <f>SUM(J33:J43)</f>
        <v>10936958</v>
      </c>
      <c r="K32" s="44">
        <f>SUM(K33:K43)</f>
        <v>10936958</v>
      </c>
      <c r="L32" s="44">
        <f>SUM(L33:L42)</f>
        <v>0</v>
      </c>
      <c r="M32" s="44">
        <f>SUM(M33:M42)</f>
        <v>0</v>
      </c>
      <c r="N32" s="45"/>
      <c r="O32" s="46"/>
    </row>
    <row r="33" spans="1:15" ht="189">
      <c r="A33" s="47">
        <v>24</v>
      </c>
      <c r="B33" s="48" t="s">
        <v>64</v>
      </c>
      <c r="C33" s="48" t="s">
        <v>65</v>
      </c>
      <c r="D33" s="49">
        <v>2008</v>
      </c>
      <c r="E33" s="50">
        <f>4000000+600000+1200000-60337</f>
        <v>5739663</v>
      </c>
      <c r="F33" s="50">
        <v>0</v>
      </c>
      <c r="G33" s="50">
        <v>0</v>
      </c>
      <c r="H33" s="50">
        <v>0</v>
      </c>
      <c r="I33" s="50">
        <f>4000000+600000+1200000-60337</f>
        <v>5739663</v>
      </c>
      <c r="J33" s="50">
        <f>I33</f>
        <v>5739663</v>
      </c>
      <c r="K33" s="50">
        <f>J33</f>
        <v>5739663</v>
      </c>
      <c r="L33" s="50">
        <v>0</v>
      </c>
      <c r="M33" s="50">
        <v>0</v>
      </c>
      <c r="N33" s="51" t="s">
        <v>24</v>
      </c>
      <c r="O33" s="52"/>
    </row>
    <row r="34" spans="1:15" ht="126">
      <c r="A34" s="26">
        <v>25</v>
      </c>
      <c r="B34" s="48" t="s">
        <v>66</v>
      </c>
      <c r="C34" s="48" t="s">
        <v>67</v>
      </c>
      <c r="D34" s="53">
        <v>2008</v>
      </c>
      <c r="E34" s="48">
        <f>(750000-350000)+405000-5050</f>
        <v>799950</v>
      </c>
      <c r="F34" s="48">
        <v>0</v>
      </c>
      <c r="G34" s="48">
        <v>0</v>
      </c>
      <c r="H34" s="48">
        <v>0</v>
      </c>
      <c r="I34" s="48">
        <f>J34</f>
        <v>799950</v>
      </c>
      <c r="J34" s="48">
        <f>K34+L34</f>
        <v>799950</v>
      </c>
      <c r="K34" s="48">
        <f>750000-350000+399950</f>
        <v>799950</v>
      </c>
      <c r="L34" s="48">
        <v>0</v>
      </c>
      <c r="M34" s="48">
        <v>0</v>
      </c>
      <c r="N34" s="30" t="s">
        <v>24</v>
      </c>
      <c r="O34" s="31"/>
    </row>
    <row r="35" spans="1:15" ht="136.5">
      <c r="A35" s="47">
        <v>26</v>
      </c>
      <c r="B35" s="54" t="s">
        <v>68</v>
      </c>
      <c r="C35" s="54" t="s">
        <v>69</v>
      </c>
      <c r="D35" s="55" t="s">
        <v>70</v>
      </c>
      <c r="E35" s="56">
        <f>((5139677-60493)+F35+1200000)-405000-18896-1650000</f>
        <v>4318106</v>
      </c>
      <c r="F35" s="56">
        <f>3608+48717+60493</f>
        <v>112818</v>
      </c>
      <c r="G35" s="56">
        <v>2465000</v>
      </c>
      <c r="H35" s="56">
        <f>J35</f>
        <v>1740288</v>
      </c>
      <c r="I35" s="56">
        <v>0</v>
      </c>
      <c r="J35" s="56">
        <f>SUM(K35:M35)</f>
        <v>1740288</v>
      </c>
      <c r="K35" s="56">
        <v>1740288</v>
      </c>
      <c r="L35" s="56"/>
      <c r="M35" s="56">
        <v>0</v>
      </c>
      <c r="N35" s="57" t="s">
        <v>71</v>
      </c>
      <c r="O35" s="58"/>
    </row>
    <row r="36" spans="1:15" ht="105">
      <c r="A36" s="26">
        <v>27</v>
      </c>
      <c r="B36" s="54" t="s">
        <v>72</v>
      </c>
      <c r="C36" s="54" t="s">
        <v>73</v>
      </c>
      <c r="D36" s="55" t="s">
        <v>74</v>
      </c>
      <c r="E36" s="56">
        <f>6500000+500000</f>
        <v>7000000</v>
      </c>
      <c r="F36" s="56">
        <v>0</v>
      </c>
      <c r="G36" s="56">
        <v>0</v>
      </c>
      <c r="H36" s="56">
        <v>0</v>
      </c>
      <c r="I36" s="56">
        <f>K36+L36+M36</f>
        <v>10370</v>
      </c>
      <c r="J36" s="56">
        <v>10370</v>
      </c>
      <c r="K36" s="56">
        <v>10370</v>
      </c>
      <c r="L36" s="56">
        <f>5397500-320000-1200000-400000-3477500</f>
        <v>0</v>
      </c>
      <c r="M36" s="56">
        <v>0</v>
      </c>
      <c r="N36" s="57" t="s">
        <v>75</v>
      </c>
      <c r="O36" s="58"/>
    </row>
    <row r="37" spans="1:15" ht="52.5">
      <c r="A37" s="47">
        <v>28</v>
      </c>
      <c r="B37" s="54" t="s">
        <v>76</v>
      </c>
      <c r="C37" s="54" t="s">
        <v>77</v>
      </c>
      <c r="D37" s="55" t="s">
        <v>78</v>
      </c>
      <c r="E37" s="56">
        <v>10000000</v>
      </c>
      <c r="F37" s="56">
        <v>0</v>
      </c>
      <c r="G37" s="56">
        <v>176</v>
      </c>
      <c r="H37" s="56">
        <f>7699923-1239923-5270000-506800</f>
        <v>683200</v>
      </c>
      <c r="I37" s="56">
        <v>0</v>
      </c>
      <c r="J37" s="56">
        <f>SUM(K37:N37)</f>
        <v>683200</v>
      </c>
      <c r="K37" s="56">
        <v>683200</v>
      </c>
      <c r="L37" s="56"/>
      <c r="M37" s="56">
        <v>0</v>
      </c>
      <c r="N37" s="57" t="s">
        <v>79</v>
      </c>
      <c r="O37" s="58"/>
    </row>
    <row r="38" spans="1:15" ht="63">
      <c r="A38" s="26">
        <v>29</v>
      </c>
      <c r="B38" s="48" t="s">
        <v>80</v>
      </c>
      <c r="C38" s="48" t="s">
        <v>46</v>
      </c>
      <c r="D38" s="49">
        <v>2008</v>
      </c>
      <c r="E38" s="50">
        <f>I38</f>
        <v>241773</v>
      </c>
      <c r="F38" s="50">
        <v>0</v>
      </c>
      <c r="G38" s="50">
        <v>0</v>
      </c>
      <c r="H38" s="50">
        <v>0</v>
      </c>
      <c r="I38" s="50">
        <f>J38</f>
        <v>241773</v>
      </c>
      <c r="J38" s="50">
        <f>SUM(K38:M38)</f>
        <v>241773</v>
      </c>
      <c r="K38" s="50">
        <f>180000+123000+61000-122227</f>
        <v>241773</v>
      </c>
      <c r="L38" s="50">
        <v>0</v>
      </c>
      <c r="M38" s="50">
        <v>0</v>
      </c>
      <c r="N38" s="30" t="s">
        <v>24</v>
      </c>
      <c r="O38" s="31"/>
    </row>
    <row r="39" spans="1:15" ht="94.5">
      <c r="A39" s="47">
        <v>30</v>
      </c>
      <c r="B39" s="48" t="s">
        <v>81</v>
      </c>
      <c r="C39" s="48" t="s">
        <v>82</v>
      </c>
      <c r="D39" s="49">
        <v>2008</v>
      </c>
      <c r="E39" s="50">
        <f>I39</f>
        <v>576445</v>
      </c>
      <c r="F39" s="50">
        <v>0</v>
      </c>
      <c r="G39" s="50">
        <v>0</v>
      </c>
      <c r="H39" s="50">
        <v>0</v>
      </c>
      <c r="I39" s="50">
        <f>J39</f>
        <v>576445</v>
      </c>
      <c r="J39" s="50">
        <f>SUM(K39:M39)</f>
        <v>576445</v>
      </c>
      <c r="K39" s="50">
        <f>310000+269000+14000-1751-14804</f>
        <v>576445</v>
      </c>
      <c r="L39" s="50">
        <v>0</v>
      </c>
      <c r="M39" s="50">
        <v>0</v>
      </c>
      <c r="N39" s="30" t="s">
        <v>24</v>
      </c>
      <c r="O39" s="31"/>
    </row>
    <row r="40" spans="1:15" ht="73.5">
      <c r="A40" s="26">
        <v>31</v>
      </c>
      <c r="B40" s="48" t="s">
        <v>83</v>
      </c>
      <c r="C40" s="48" t="s">
        <v>84</v>
      </c>
      <c r="D40" s="49">
        <v>2008</v>
      </c>
      <c r="E40" s="50">
        <f>I40</f>
        <v>474926</v>
      </c>
      <c r="F40" s="50">
        <v>0</v>
      </c>
      <c r="G40" s="50">
        <v>0</v>
      </c>
      <c r="H40" s="50">
        <v>0</v>
      </c>
      <c r="I40" s="50">
        <f>J40</f>
        <v>474926</v>
      </c>
      <c r="J40" s="50">
        <f>SUM(K40:M40)</f>
        <v>474926</v>
      </c>
      <c r="K40" s="50">
        <f>320000+192000-37074</f>
        <v>474926</v>
      </c>
      <c r="L40" s="50">
        <v>0</v>
      </c>
      <c r="M40" s="50">
        <v>0</v>
      </c>
      <c r="N40" s="30" t="s">
        <v>24</v>
      </c>
      <c r="O40" s="31"/>
    </row>
    <row r="41" spans="1:15" ht="73.5">
      <c r="A41" s="47">
        <v>32</v>
      </c>
      <c r="B41" s="48" t="s">
        <v>85</v>
      </c>
      <c r="C41" s="48" t="s">
        <v>86</v>
      </c>
      <c r="D41" s="49" t="s">
        <v>29</v>
      </c>
      <c r="E41" s="50">
        <f>806000+354126</f>
        <v>1160126</v>
      </c>
      <c r="F41" s="50">
        <v>0</v>
      </c>
      <c r="G41" s="50">
        <v>0</v>
      </c>
      <c r="H41" s="50">
        <v>0</v>
      </c>
      <c r="I41" s="50">
        <f>J41</f>
        <v>10126</v>
      </c>
      <c r="J41" s="50">
        <f>SUM(K41:M41)</f>
        <v>10126</v>
      </c>
      <c r="K41" s="50">
        <f>320000+486000-720000-75000-874</f>
        <v>10126</v>
      </c>
      <c r="L41" s="50">
        <v>0</v>
      </c>
      <c r="M41" s="50">
        <v>0</v>
      </c>
      <c r="N41" s="30" t="s">
        <v>24</v>
      </c>
      <c r="O41" s="31"/>
    </row>
    <row r="42" spans="1:15" ht="73.5">
      <c r="A42" s="26">
        <v>33</v>
      </c>
      <c r="B42" s="59" t="s">
        <v>87</v>
      </c>
      <c r="C42" s="59" t="s">
        <v>86</v>
      </c>
      <c r="D42" s="60">
        <v>2008</v>
      </c>
      <c r="E42" s="61">
        <f>I42</f>
        <v>646882</v>
      </c>
      <c r="F42" s="61">
        <v>0</v>
      </c>
      <c r="G42" s="61">
        <v>0</v>
      </c>
      <c r="H42" s="61">
        <v>0</v>
      </c>
      <c r="I42" s="61">
        <f>J42</f>
        <v>646882</v>
      </c>
      <c r="J42" s="61">
        <f>SUM(K42:M42)</f>
        <v>646882</v>
      </c>
      <c r="K42" s="61">
        <f>320000+344000-17118</f>
        <v>646882</v>
      </c>
      <c r="L42" s="61">
        <v>0</v>
      </c>
      <c r="M42" s="61">
        <v>0</v>
      </c>
      <c r="N42" s="62" t="s">
        <v>24</v>
      </c>
      <c r="O42" s="63"/>
    </row>
    <row r="43" spans="1:15" ht="12.75">
      <c r="A43" s="47">
        <v>34</v>
      </c>
      <c r="B43" s="64" t="s">
        <v>88</v>
      </c>
      <c r="C43" s="64"/>
      <c r="D43" s="65">
        <v>2008</v>
      </c>
      <c r="E43" s="64">
        <f>50000-36665</f>
        <v>13335</v>
      </c>
      <c r="F43" s="64">
        <v>0</v>
      </c>
      <c r="G43" s="64">
        <v>0</v>
      </c>
      <c r="H43" s="64">
        <v>0</v>
      </c>
      <c r="I43" s="64">
        <f>50000-36665</f>
        <v>13335</v>
      </c>
      <c r="J43" s="64">
        <f>I43</f>
        <v>13335</v>
      </c>
      <c r="K43" s="64">
        <f>J43</f>
        <v>13335</v>
      </c>
      <c r="L43" s="64">
        <v>0</v>
      </c>
      <c r="M43" s="64">
        <v>0</v>
      </c>
      <c r="N43" s="66" t="s">
        <v>24</v>
      </c>
      <c r="O43" s="67"/>
    </row>
  </sheetData>
  <mergeCells count="41">
    <mergeCell ref="N43:O43"/>
    <mergeCell ref="N39:O39"/>
    <mergeCell ref="N40:O40"/>
    <mergeCell ref="N41:O41"/>
    <mergeCell ref="N42:O42"/>
    <mergeCell ref="N35:O35"/>
    <mergeCell ref="N36:O36"/>
    <mergeCell ref="N37:O37"/>
    <mergeCell ref="N38:O38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N7:O7"/>
    <mergeCell ref="N8:O8"/>
    <mergeCell ref="N9:O9"/>
    <mergeCell ref="N10:O10"/>
    <mergeCell ref="K4:M4"/>
    <mergeCell ref="N4:O4"/>
    <mergeCell ref="N5:O5"/>
    <mergeCell ref="N6:O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2009-01-02T13:40:08Z</dcterms:created>
  <dcterms:modified xsi:type="dcterms:W3CDTF">2009-01-02T13:41:19Z</dcterms:modified>
  <cp:category/>
  <cp:version/>
  <cp:contentType/>
  <cp:contentStatus/>
</cp:coreProperties>
</file>