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'Zal_1_WPF_wg_RIO_Lodz'!$A$1:$N$73</definedName>
    <definedName name="_xlnm.Print_Titles" localSheetId="0">'Zal_1_WPF_wg_RIO_Lodz'!$6:$7</definedName>
  </definedNames>
  <calcPr fullCalcOnLoad="1"/>
</workbook>
</file>

<file path=xl/sharedStrings.xml><?xml version="1.0" encoding="utf-8"?>
<sst xmlns="http://schemas.openxmlformats.org/spreadsheetml/2006/main" count="139" uniqueCount="103">
  <si>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</si>
  <si>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</si>
  <si>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</si>
  <si>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</si>
  <si>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</si>
  <si>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</si>
  <si>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</si>
  <si>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</si>
  <si>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</si>
  <si>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</si>
  <si>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</si>
  <si>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</si>
  <si>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</si>
  <si>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</si>
  <si>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</si>
  <si>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</si>
  <si>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</si>
  <si>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</si>
  <si>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</si>
  <si>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</si>
  <si>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</si>
  <si>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</si>
  <si>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</si>
  <si>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</si>
  <si>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</si>
  <si>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</si>
  <si>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</si>
  <si>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</si>
  <si>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</si>
  <si>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</si>
  <si>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</si>
  <si>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</si>
  <si>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</si>
  <si>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</si>
  <si>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</si>
  <si>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</si>
  <si>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</si>
  <si>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</si>
  <si>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</si>
  <si>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</si>
  <si>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</si>
  <si>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</si>
  <si>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</si>
  <si>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</si>
  <si>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</si>
  <si>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</si>
  <si>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</si>
  <si>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</si>
  <si>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</si>
  <si>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</si>
  <si>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</si>
  <si>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</si>
  <si>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</si>
  <si>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</si>
  <si>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</si>
  <si>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</si>
  <si>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</si>
  <si>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</si>
  <si>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</si>
  <si>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</si>
  <si>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</si>
  <si>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</si>
  <si>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</si>
  <si>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</si>
  <si>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</si>
  <si>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</si>
  <si>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</si>
  <si>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</si>
  <si>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</si>
  <si>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</si>
  <si>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</si>
  <si>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</si>
  <si>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</si>
  <si>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</si>
  <si>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</si>
  <si>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</si>
  <si>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</si>
  <si>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</si>
  <si>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</si>
  <si>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</si>
  <si>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</si>
  <si>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</si>
  <si>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</si>
  <si>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</si>
  <si>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</si>
  <si>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</si>
  <si>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</si>
  <si>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</si>
  <si>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</si>
  <si>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</si>
  <si>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</si>
  <si>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na wynagrodzenia i składki od nich naliczane, w tym:</t>
  </si>
  <si>
    <t>wynagrodzenie organu wykowaczego JST</t>
  </si>
  <si>
    <t>pozostałe wydatki związane z funkcjonowaniem organów JST</t>
  </si>
  <si>
    <t>Załącznik Nr 1</t>
  </si>
  <si>
    <t>Wieloletnia Prognoza Finansowa Miasta Skierniewice wraz z prognozą długu na lata 2011-2019</t>
  </si>
  <si>
    <t>X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</si>
  <si>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</si>
  <si>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(1)</t>
  </si>
  <si>
    <t>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</si>
  <si>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</si>
  <si>
    <t>Załącznik nr 1</t>
  </si>
  <si>
    <t>Wykonanie 31.12.2010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</si>
</sst>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0" fontId="3" fillId="0" borderId="14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0" fontId="2" fillId="0" borderId="15" xfId="56" applyFont="1" applyBorder="1" applyAlignment="1" quotePrefix="1">
      <alignment vertical="center" wrapText="1"/>
      <protection/>
    </xf>
    <xf numFmtId="165" fontId="3" fillId="0" borderId="16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0" fontId="3" fillId="0" borderId="16" xfId="56" applyNumberFormat="1" applyFont="1" applyBorder="1" applyAlignment="1">
      <alignment vertical="center"/>
      <protection/>
    </xf>
    <xf numFmtId="0" fontId="3" fillId="0" borderId="16" xfId="56" applyFont="1" applyBorder="1" applyAlignment="1">
      <alignment horizontal="center" vertical="center" wrapText="1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34" borderId="18" xfId="56" applyNumberFormat="1" applyFont="1" applyFill="1" applyBorder="1" applyAlignment="1">
      <alignment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8" fillId="34" borderId="16" xfId="56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top"/>
    </xf>
    <xf numFmtId="0" fontId="12" fillId="0" borderId="22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19" xfId="56" applyFont="1" applyBorder="1" applyAlignment="1">
      <alignment horizontal="center" vertical="center"/>
      <protection/>
    </xf>
    <xf numFmtId="166" fontId="2" fillId="0" borderId="16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21" xfId="56" applyNumberFormat="1" applyFont="1" applyFill="1" applyBorder="1" applyAlignment="1">
      <alignment vertical="center"/>
      <protection/>
    </xf>
    <xf numFmtId="166" fontId="3" fillId="33" borderId="13" xfId="56" applyNumberFormat="1" applyFont="1" applyFill="1" applyBorder="1" applyAlignment="1">
      <alignment vertical="center"/>
      <protection/>
    </xf>
    <xf numFmtId="166" fontId="2" fillId="0" borderId="22" xfId="56" applyNumberFormat="1" applyFont="1" applyBorder="1" applyAlignment="1">
      <alignment vertical="center"/>
      <protection/>
    </xf>
    <xf numFmtId="166" fontId="2" fillId="0" borderId="24" xfId="56" applyNumberFormat="1" applyFont="1" applyBorder="1" applyAlignment="1">
      <alignment vertical="center"/>
      <protection/>
    </xf>
    <xf numFmtId="166" fontId="3" fillId="34" borderId="16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9" xfId="56" applyNumberFormat="1" applyFont="1" applyBorder="1" applyAlignment="1">
      <alignment vertical="center"/>
      <protection/>
    </xf>
    <xf numFmtId="166" fontId="2" fillId="0" borderId="18" xfId="56" applyNumberFormat="1" applyFont="1" applyBorder="1" applyAlignment="1">
      <alignment vertical="center"/>
      <protection/>
    </xf>
    <xf numFmtId="166" fontId="3" fillId="0" borderId="14" xfId="56" applyNumberFormat="1" applyFont="1" applyBorder="1" applyAlignment="1">
      <alignment vertical="center"/>
      <protection/>
    </xf>
    <xf numFmtId="165" fontId="2" fillId="35" borderId="16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3" fillId="0" borderId="25" xfId="56" applyFont="1" applyBorder="1" applyAlignment="1">
      <alignment horizontal="left" vertical="center" wrapText="1"/>
      <protection/>
    </xf>
    <xf numFmtId="0" fontId="3" fillId="0" borderId="26" xfId="56" applyFont="1" applyBorder="1" applyAlignment="1">
      <alignment horizontal="left" vertical="center" wrapText="1"/>
      <protection/>
    </xf>
    <xf numFmtId="10" fontId="3" fillId="0" borderId="16" xfId="56" applyNumberFormat="1" applyFont="1" applyBorder="1" applyAlignment="1">
      <alignment horizontal="center" vertical="center"/>
      <protection/>
    </xf>
    <xf numFmtId="49" fontId="7" fillId="0" borderId="0" xfId="0" applyNumberFormat="1" applyFont="1" applyAlignment="1">
      <alignment/>
    </xf>
    <xf numFmtId="2" fontId="3" fillId="0" borderId="10" xfId="56" applyNumberFormat="1" applyFont="1" applyBorder="1" applyAlignment="1">
      <alignment vertical="center"/>
      <protection/>
    </xf>
    <xf numFmtId="166" fontId="3" fillId="0" borderId="27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vertical="center"/>
      <protection/>
    </xf>
    <xf numFmtId="10" fontId="3" fillId="0" borderId="28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49" fontId="8" fillId="36" borderId="29" xfId="56" applyNumberFormat="1" applyFont="1" applyFill="1" applyBorder="1" applyAlignment="1">
      <alignment horizontal="center"/>
      <protection/>
    </xf>
    <xf numFmtId="166" fontId="3" fillId="0" borderId="27" xfId="56" applyNumberFormat="1" applyFont="1" applyBorder="1" applyAlignment="1">
      <alignment horizontal="right" vertical="center"/>
      <protection/>
    </xf>
    <xf numFmtId="166" fontId="3" fillId="34" borderId="19" xfId="56" applyNumberFormat="1" applyFont="1" applyFill="1" applyBorder="1" applyAlignment="1">
      <alignment vertical="center"/>
      <protection/>
    </xf>
    <xf numFmtId="166" fontId="2" fillId="37" borderId="16" xfId="56" applyNumberFormat="1" applyFont="1" applyFill="1" applyBorder="1" applyAlignment="1">
      <alignment vertical="center"/>
      <protection/>
    </xf>
    <xf numFmtId="166" fontId="2" fillId="37" borderId="10" xfId="56" applyNumberFormat="1" applyFont="1" applyFill="1" applyBorder="1" applyAlignment="1">
      <alignment vertical="center"/>
      <protection/>
    </xf>
    <xf numFmtId="166" fontId="3" fillId="37" borderId="16" xfId="56" applyNumberFormat="1" applyFont="1" applyFill="1" applyBorder="1" applyAlignment="1">
      <alignment vertical="center"/>
      <protection/>
    </xf>
    <xf numFmtId="166" fontId="3" fillId="37" borderId="10" xfId="56" applyNumberFormat="1" applyFont="1" applyFill="1" applyBorder="1" applyAlignment="1">
      <alignment vertical="center"/>
      <protection/>
    </xf>
    <xf numFmtId="165" fontId="2" fillId="37" borderId="16" xfId="56" applyNumberFormat="1" applyFont="1" applyFill="1" applyBorder="1" applyAlignment="1">
      <alignment horizontal="center" vertical="center"/>
      <protection/>
    </xf>
    <xf numFmtId="166" fontId="3" fillId="37" borderId="20" xfId="56" applyNumberFormat="1" applyFont="1" applyFill="1" applyBorder="1" applyAlignment="1">
      <alignment vertical="center"/>
      <protection/>
    </xf>
    <xf numFmtId="166" fontId="12" fillId="37" borderId="10" xfId="56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5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3" fillId="0" borderId="28" xfId="56" applyFont="1" applyBorder="1" applyAlignment="1">
      <alignment horizontal="left" vertical="center" wrapText="1"/>
      <protection/>
    </xf>
    <xf numFmtId="0" fontId="3" fillId="0" borderId="35" xfId="56" applyFont="1" applyBorder="1" applyAlignment="1">
      <alignment horizontal="left" vertical="center" wrapTex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left" vertical="center" wrapText="1"/>
      <protection/>
    </xf>
    <xf numFmtId="49" fontId="3" fillId="33" borderId="22" xfId="56" applyNumberFormat="1" applyFont="1" applyFill="1" applyBorder="1" applyAlignment="1">
      <alignment horizontal="center" vertical="center"/>
      <protection/>
    </xf>
    <xf numFmtId="0" fontId="15" fillId="0" borderId="37" xfId="0" applyFont="1" applyBorder="1" applyAlignment="1">
      <alignment/>
    </xf>
    <xf numFmtId="49" fontId="8" fillId="36" borderId="38" xfId="56" applyNumberFormat="1" applyFont="1" applyFill="1" applyBorder="1" applyAlignment="1">
      <alignment horizontal="center" vertical="center" wrapText="1"/>
      <protection/>
    </xf>
    <xf numFmtId="49" fontId="8" fillId="36" borderId="39" xfId="56" applyNumberFormat="1" applyFont="1" applyFill="1" applyBorder="1" applyAlignment="1">
      <alignment horizontal="center" vertical="center" wrapText="1"/>
      <protection/>
    </xf>
    <xf numFmtId="49" fontId="8" fillId="36" borderId="40" xfId="56" applyNumberFormat="1" applyFont="1" applyFill="1" applyBorder="1" applyAlignment="1">
      <alignment horizontal="center" vertical="center" wrapText="1"/>
      <protection/>
    </xf>
    <xf numFmtId="49" fontId="8" fillId="36" borderId="41" xfId="56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top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2" fillId="0" borderId="18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10" fillId="0" borderId="27" xfId="0" applyFont="1" applyBorder="1" applyAlignment="1">
      <alignment horizontal="left" vertical="top" wrapText="1"/>
    </xf>
    <xf numFmtId="0" fontId="8" fillId="34" borderId="25" xfId="56" applyFont="1" applyFill="1" applyBorder="1" applyAlignment="1">
      <alignment horizontal="left" vertical="center" wrapText="1"/>
      <protection/>
    </xf>
    <xf numFmtId="0" fontId="8" fillId="34" borderId="26" xfId="56" applyFont="1" applyFill="1" applyBorder="1" applyAlignment="1">
      <alignment horizontal="left" vertical="center" wrapText="1"/>
      <protection/>
    </xf>
    <xf numFmtId="0" fontId="8" fillId="34" borderId="46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15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39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23" xfId="56" applyFont="1" applyFill="1" applyBorder="1" applyAlignment="1">
      <alignment horizontal="left" vertical="center" wrapText="1"/>
      <protection/>
    </xf>
    <xf numFmtId="0" fontId="3" fillId="0" borderId="48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15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5" xfId="56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3" fillId="0" borderId="51" xfId="56" applyFont="1" applyBorder="1" applyAlignment="1">
      <alignment horizontal="center" vertical="center"/>
      <protection/>
    </xf>
    <xf numFmtId="0" fontId="3" fillId="0" borderId="52" xfId="56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43" xfId="56" applyFont="1" applyFill="1" applyBorder="1" applyAlignment="1">
      <alignment horizontal="left" vertical="center" wrapText="1"/>
      <protection/>
    </xf>
    <xf numFmtId="0" fontId="3" fillId="33" borderId="44" xfId="56" applyFont="1" applyFill="1" applyBorder="1" applyAlignment="1">
      <alignment horizontal="left" vertical="center" wrapText="1"/>
      <protection/>
    </xf>
    <xf numFmtId="0" fontId="3" fillId="33" borderId="45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4</xdr:col>
      <xdr:colOff>1000125</xdr:colOff>
      <xdr:row>65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430250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3</xdr:col>
      <xdr:colOff>19050</xdr:colOff>
      <xdr:row>69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40398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1.8984375" style="3" bestFit="1" customWidth="1"/>
    <col min="14" max="14" width="11.69921875" style="3" bestFit="1" customWidth="1"/>
    <col min="15" max="16384" width="9" style="11" customWidth="1"/>
  </cols>
  <sheetData>
    <row r="1" spans="1:3" ht="12">
      <c r="A1" s="75"/>
      <c r="B1" s="75"/>
      <c r="C1" s="75"/>
    </row>
    <row r="2" spans="1:16" ht="12">
      <c r="A2" s="134" t="s">
        <v>101</v>
      </c>
      <c r="B2" s="134"/>
      <c r="C2" s="134"/>
      <c r="M2" s="138" t="s">
        <v>94</v>
      </c>
      <c r="N2" s="139"/>
      <c r="O2" s="139"/>
      <c r="P2" s="139"/>
    </row>
    <row r="3" spans="1:14" ht="18.75">
      <c r="A3" s="137" t="s">
        <v>95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5" spans="1:4" ht="12.75" thickBot="1">
      <c r="A5" s="138"/>
      <c r="B5" s="139"/>
      <c r="C5" s="139"/>
      <c r="D5" s="139"/>
    </row>
    <row r="6" spans="1:14" ht="15" customHeight="1" thickBot="1">
      <c r="A6" s="94" t="s">
        <v>0</v>
      </c>
      <c r="B6" s="96" t="s">
        <v>1</v>
      </c>
      <c r="C6" s="96"/>
      <c r="D6" s="97"/>
      <c r="E6" s="85" t="s">
        <v>102</v>
      </c>
      <c r="F6" s="76" t="s">
        <v>89</v>
      </c>
      <c r="G6" s="77"/>
      <c r="H6" s="77"/>
      <c r="I6" s="77"/>
      <c r="J6" s="77"/>
      <c r="K6" s="77"/>
      <c r="L6" s="77"/>
      <c r="M6" s="77"/>
      <c r="N6" s="78"/>
    </row>
    <row r="7" spans="1:224" s="13" customFormat="1" ht="13.5" customHeight="1" thickBot="1">
      <c r="A7" s="95"/>
      <c r="B7" s="98"/>
      <c r="C7" s="98"/>
      <c r="D7" s="99"/>
      <c r="E7" s="86"/>
      <c r="F7" s="65">
        <v>2011</v>
      </c>
      <c r="G7" s="65">
        <v>2012</v>
      </c>
      <c r="H7" s="65">
        <v>2013</v>
      </c>
      <c r="I7" s="65">
        <v>2014</v>
      </c>
      <c r="J7" s="65">
        <v>2015</v>
      </c>
      <c r="K7" s="65">
        <v>2016</v>
      </c>
      <c r="L7" s="65">
        <v>2017</v>
      </c>
      <c r="M7" s="65">
        <v>2018</v>
      </c>
      <c r="N7" s="65">
        <v>2019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</row>
    <row r="8" spans="1:14" ht="13.5" customHeight="1">
      <c r="A8" s="31" t="s">
        <v>2</v>
      </c>
      <c r="B8" s="140" t="s">
        <v>68</v>
      </c>
      <c r="C8" s="141"/>
      <c r="D8" s="142"/>
      <c r="E8" s="43">
        <f>+E9+E10</f>
        <v>174080909.65</v>
      </c>
      <c r="F8" s="44">
        <f aca="true" t="shared" si="0" ref="F8:N8">+F9+F10</f>
        <v>174531670.35</v>
      </c>
      <c r="G8" s="44">
        <f t="shared" si="0"/>
        <v>199000000</v>
      </c>
      <c r="H8" s="44">
        <f t="shared" si="0"/>
        <v>197000000</v>
      </c>
      <c r="I8" s="44">
        <f t="shared" si="0"/>
        <v>175000000</v>
      </c>
      <c r="J8" s="44">
        <f t="shared" si="0"/>
        <v>172000000</v>
      </c>
      <c r="K8" s="44">
        <f t="shared" si="0"/>
        <v>172000000</v>
      </c>
      <c r="L8" s="44">
        <f t="shared" si="0"/>
        <v>173000000</v>
      </c>
      <c r="M8" s="44">
        <f t="shared" si="0"/>
        <v>173000000</v>
      </c>
      <c r="N8" s="44">
        <f t="shared" si="0"/>
        <v>174000000</v>
      </c>
    </row>
    <row r="9" spans="1:14" ht="13.5" customHeight="1">
      <c r="A9" s="21" t="s">
        <v>3</v>
      </c>
      <c r="B9" s="4"/>
      <c r="C9" s="118" t="s">
        <v>4</v>
      </c>
      <c r="D9" s="119"/>
      <c r="E9" s="68">
        <v>153908726.15</v>
      </c>
      <c r="F9" s="69">
        <f>154307811.37+634034.31+494800+53393+394330+780+4000+40320+2833043.74+504676.13+153899+1139858+567556.14</f>
        <v>161128501.69</v>
      </c>
      <c r="G9" s="40">
        <v>165000000</v>
      </c>
      <c r="H9" s="40">
        <v>165000000</v>
      </c>
      <c r="I9" s="40">
        <v>165000000</v>
      </c>
      <c r="J9" s="40">
        <v>166000000</v>
      </c>
      <c r="K9" s="40">
        <v>166000000</v>
      </c>
      <c r="L9" s="40">
        <v>167000000</v>
      </c>
      <c r="M9" s="40">
        <v>167000000</v>
      </c>
      <c r="N9" s="40">
        <v>168000000</v>
      </c>
    </row>
    <row r="10" spans="1:14" ht="13.5" customHeight="1">
      <c r="A10" s="21" t="s">
        <v>5</v>
      </c>
      <c r="B10" s="4"/>
      <c r="C10" s="118" t="s">
        <v>6</v>
      </c>
      <c r="D10" s="119"/>
      <c r="E10" s="68">
        <v>20172183.5</v>
      </c>
      <c r="F10" s="69">
        <f>10956963.9+450307.42+1338508.03+438865.31+191005+27519</f>
        <v>13403168.66</v>
      </c>
      <c r="G10" s="40">
        <f>32000000+2000000</f>
        <v>34000000</v>
      </c>
      <c r="H10" s="40">
        <f>30000000+2000000</f>
        <v>32000000</v>
      </c>
      <c r="I10" s="40">
        <v>10000000</v>
      </c>
      <c r="J10" s="40">
        <v>6000000</v>
      </c>
      <c r="K10" s="40">
        <v>6000000</v>
      </c>
      <c r="L10" s="40">
        <v>6000000</v>
      </c>
      <c r="M10" s="40">
        <v>6000000</v>
      </c>
      <c r="N10" s="40">
        <v>6000000</v>
      </c>
    </row>
    <row r="11" spans="1:14" ht="13.5" customHeight="1">
      <c r="A11" s="21" t="s">
        <v>10</v>
      </c>
      <c r="B11" s="5"/>
      <c r="C11" s="6"/>
      <c r="D11" s="14" t="s">
        <v>7</v>
      </c>
      <c r="E11" s="68">
        <v>3480824.37</v>
      </c>
      <c r="F11" s="69">
        <v>5700000</v>
      </c>
      <c r="G11" s="40">
        <v>3000000</v>
      </c>
      <c r="H11" s="40">
        <v>3000000</v>
      </c>
      <c r="I11" s="40">
        <v>3000000</v>
      </c>
      <c r="J11" s="40">
        <v>3000000</v>
      </c>
      <c r="K11" s="40">
        <v>3000000</v>
      </c>
      <c r="L11" s="40">
        <v>3000000</v>
      </c>
      <c r="M11" s="40">
        <v>3000000</v>
      </c>
      <c r="N11" s="40">
        <v>3000000</v>
      </c>
    </row>
    <row r="12" spans="1:14" ht="30" customHeight="1">
      <c r="A12" s="22" t="s">
        <v>8</v>
      </c>
      <c r="B12" s="82" t="s">
        <v>9</v>
      </c>
      <c r="C12" s="83"/>
      <c r="D12" s="84"/>
      <c r="E12" s="41">
        <f>140066591.23-560872.41</f>
        <v>139505718.82</v>
      </c>
      <c r="F12" s="71">
        <f>135301519.9-700000+6128814.29+1434960+35855+1147766+93480+378223+4000+240043.74+596199.7+232346.15+1421122+5427423.09</f>
        <v>151741752.87</v>
      </c>
      <c r="G12" s="42">
        <v>135000000</v>
      </c>
      <c r="H12" s="42">
        <v>135000000</v>
      </c>
      <c r="I12" s="42">
        <v>138000000</v>
      </c>
      <c r="J12" s="42">
        <v>139000000</v>
      </c>
      <c r="K12" s="42">
        <v>140000000</v>
      </c>
      <c r="L12" s="42">
        <v>140000000</v>
      </c>
      <c r="M12" s="42">
        <v>141000000</v>
      </c>
      <c r="N12" s="42">
        <v>142000000</v>
      </c>
    </row>
    <row r="13" spans="1:14" ht="13.5" customHeight="1">
      <c r="A13" s="21" t="s">
        <v>3</v>
      </c>
      <c r="B13" s="4"/>
      <c r="C13" s="118" t="s">
        <v>91</v>
      </c>
      <c r="D13" s="119"/>
      <c r="E13" s="68">
        <v>75359504.14</v>
      </c>
      <c r="F13" s="69">
        <f>70747119.42+161050.58+60080+117570+2535-19879+315753+3981341.73</f>
        <v>75365570.73</v>
      </c>
      <c r="G13" s="40">
        <v>71000000</v>
      </c>
      <c r="H13" s="40">
        <v>71500000</v>
      </c>
      <c r="I13" s="40">
        <v>72000000</v>
      </c>
      <c r="J13" s="40">
        <v>73000000</v>
      </c>
      <c r="K13" s="40"/>
      <c r="L13" s="40"/>
      <c r="M13" s="40"/>
      <c r="N13" s="40"/>
    </row>
    <row r="14" spans="1:14" ht="13.5" customHeight="1">
      <c r="A14" s="21"/>
      <c r="B14" s="4"/>
      <c r="C14" s="118" t="s">
        <v>92</v>
      </c>
      <c r="D14" s="119"/>
      <c r="E14" s="68">
        <v>160148.77</v>
      </c>
      <c r="F14" s="69">
        <v>161050.58</v>
      </c>
      <c r="G14" s="40">
        <v>176000</v>
      </c>
      <c r="H14" s="40">
        <v>177000</v>
      </c>
      <c r="I14" s="40">
        <v>178000</v>
      </c>
      <c r="J14" s="40">
        <v>179000</v>
      </c>
      <c r="K14" s="40"/>
      <c r="L14" s="40"/>
      <c r="M14" s="40"/>
      <c r="N14" s="40"/>
    </row>
    <row r="15" spans="1:14" ht="13.5" customHeight="1">
      <c r="A15" s="21" t="s">
        <v>5</v>
      </c>
      <c r="B15" s="4"/>
      <c r="C15" s="118" t="s">
        <v>93</v>
      </c>
      <c r="D15" s="119"/>
      <c r="E15" s="68">
        <f>2281637.45+440251.1</f>
        <v>2721888.5500000003</v>
      </c>
      <c r="F15" s="69">
        <f>3049000-18090+23480</f>
        <v>3054390</v>
      </c>
      <c r="G15" s="40">
        <v>3100000</v>
      </c>
      <c r="H15" s="40">
        <v>3100000</v>
      </c>
      <c r="I15" s="40">
        <v>3100000</v>
      </c>
      <c r="J15" s="40">
        <v>3200000</v>
      </c>
      <c r="K15" s="40"/>
      <c r="L15" s="40"/>
      <c r="M15" s="40"/>
      <c r="N15" s="40"/>
    </row>
    <row r="16" spans="1:14" ht="13.5" customHeight="1">
      <c r="A16" s="21" t="s">
        <v>10</v>
      </c>
      <c r="B16" s="4"/>
      <c r="C16" s="118" t="s">
        <v>11</v>
      </c>
      <c r="D16" s="119"/>
      <c r="E16" s="39">
        <v>0</v>
      </c>
      <c r="F16" s="69">
        <f>390000+220000</f>
        <v>610000</v>
      </c>
      <c r="G16" s="40">
        <f>330000+320000</f>
        <v>650000</v>
      </c>
      <c r="H16" s="40">
        <f>320000+310000</f>
        <v>630000</v>
      </c>
      <c r="I16" s="40">
        <f>300000+280000</f>
        <v>580000</v>
      </c>
      <c r="J16" s="40">
        <f>260000+270000</f>
        <v>530000</v>
      </c>
      <c r="K16" s="40">
        <v>100000</v>
      </c>
      <c r="L16" s="40"/>
      <c r="M16" s="40"/>
      <c r="N16" s="40"/>
    </row>
    <row r="17" spans="1:14" ht="24">
      <c r="A17" s="21" t="s">
        <v>13</v>
      </c>
      <c r="B17" s="4"/>
      <c r="C17" s="7"/>
      <c r="D17" s="14" t="s">
        <v>12</v>
      </c>
      <c r="E17" s="39"/>
      <c r="F17" s="69"/>
      <c r="G17" s="40"/>
      <c r="H17" s="40"/>
      <c r="I17" s="40"/>
      <c r="J17" s="40"/>
      <c r="K17" s="40"/>
      <c r="L17" s="40"/>
      <c r="M17" s="40"/>
      <c r="N17" s="40"/>
    </row>
    <row r="18" spans="1:14" ht="13.5" customHeight="1">
      <c r="A18" s="21" t="s">
        <v>49</v>
      </c>
      <c r="B18" s="4"/>
      <c r="C18" s="118" t="s">
        <v>14</v>
      </c>
      <c r="D18" s="119"/>
      <c r="E18" s="52" t="s">
        <v>67</v>
      </c>
      <c r="F18" s="69">
        <v>8674175.09</v>
      </c>
      <c r="G18" s="69">
        <v>10644329.69</v>
      </c>
      <c r="H18" s="69">
        <v>1134012.9</v>
      </c>
      <c r="I18" s="69">
        <v>580000</v>
      </c>
      <c r="J18" s="69">
        <v>530000</v>
      </c>
      <c r="K18" s="69">
        <v>100000</v>
      </c>
      <c r="L18" s="40"/>
      <c r="M18" s="40"/>
      <c r="N18" s="40"/>
    </row>
    <row r="19" spans="1:14" ht="13.5" customHeight="1">
      <c r="A19" s="23" t="s">
        <v>15</v>
      </c>
      <c r="B19" s="129" t="s">
        <v>53</v>
      </c>
      <c r="C19" s="130"/>
      <c r="D19" s="131"/>
      <c r="E19" s="47">
        <f>E8-E12</f>
        <v>34575190.83000001</v>
      </c>
      <c r="F19" s="48">
        <f>F8-F12</f>
        <v>22789917.47999999</v>
      </c>
      <c r="G19" s="48">
        <f aca="true" t="shared" si="1" ref="G19:N19">G8-G12</f>
        <v>64000000</v>
      </c>
      <c r="H19" s="48">
        <f t="shared" si="1"/>
        <v>62000000</v>
      </c>
      <c r="I19" s="48">
        <f t="shared" si="1"/>
        <v>37000000</v>
      </c>
      <c r="J19" s="48">
        <f t="shared" si="1"/>
        <v>33000000</v>
      </c>
      <c r="K19" s="48">
        <f t="shared" si="1"/>
        <v>32000000</v>
      </c>
      <c r="L19" s="48">
        <f t="shared" si="1"/>
        <v>33000000</v>
      </c>
      <c r="M19" s="48">
        <f t="shared" si="1"/>
        <v>32000000</v>
      </c>
      <c r="N19" s="48">
        <f t="shared" si="1"/>
        <v>32000000</v>
      </c>
    </row>
    <row r="20" spans="1:14" ht="27.75" customHeight="1">
      <c r="A20" s="22" t="s">
        <v>16</v>
      </c>
      <c r="B20" s="112" t="s">
        <v>17</v>
      </c>
      <c r="C20" s="113"/>
      <c r="D20" s="114"/>
      <c r="E20" s="41"/>
      <c r="F20" s="71">
        <v>9615370.58</v>
      </c>
      <c r="G20" s="42"/>
      <c r="H20" s="42"/>
      <c r="I20" s="42"/>
      <c r="J20" s="42"/>
      <c r="K20" s="42"/>
      <c r="L20" s="42"/>
      <c r="M20" s="42"/>
      <c r="N20" s="42"/>
    </row>
    <row r="21" spans="1:14" ht="25.5" customHeight="1">
      <c r="A21" s="21" t="s">
        <v>3</v>
      </c>
      <c r="B21" s="4"/>
      <c r="C21" s="80" t="s">
        <v>80</v>
      </c>
      <c r="D21" s="81"/>
      <c r="E21" s="39"/>
      <c r="F21" s="69">
        <v>472762.24</v>
      </c>
      <c r="G21" s="40"/>
      <c r="H21" s="40"/>
      <c r="I21" s="40"/>
      <c r="J21" s="40"/>
      <c r="K21" s="40"/>
      <c r="L21" s="40"/>
      <c r="M21" s="40"/>
      <c r="N21" s="40"/>
    </row>
    <row r="22" spans="1:14" ht="13.5" customHeight="1">
      <c r="A22" s="22" t="s">
        <v>18</v>
      </c>
      <c r="B22" s="82" t="s">
        <v>79</v>
      </c>
      <c r="C22" s="83"/>
      <c r="D22" s="84"/>
      <c r="E22" s="41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3.5" customHeight="1">
      <c r="A23" s="23" t="s">
        <v>19</v>
      </c>
      <c r="B23" s="115" t="s">
        <v>52</v>
      </c>
      <c r="C23" s="116"/>
      <c r="D23" s="117"/>
      <c r="E23" s="47">
        <f>E19+E20+E22</f>
        <v>34575190.83000001</v>
      </c>
      <c r="F23" s="48">
        <f>F19+F20+F22</f>
        <v>32405288.059999987</v>
      </c>
      <c r="G23" s="48">
        <f aca="true" t="shared" si="2" ref="G23:N23">G19+G20+G22</f>
        <v>64000000</v>
      </c>
      <c r="H23" s="48">
        <f t="shared" si="2"/>
        <v>62000000</v>
      </c>
      <c r="I23" s="48">
        <f t="shared" si="2"/>
        <v>37000000</v>
      </c>
      <c r="J23" s="48">
        <f t="shared" si="2"/>
        <v>33000000</v>
      </c>
      <c r="K23" s="48">
        <f t="shared" si="2"/>
        <v>32000000</v>
      </c>
      <c r="L23" s="48">
        <f t="shared" si="2"/>
        <v>33000000</v>
      </c>
      <c r="M23" s="48">
        <f t="shared" si="2"/>
        <v>32000000</v>
      </c>
      <c r="N23" s="48">
        <f t="shared" si="2"/>
        <v>32000000</v>
      </c>
    </row>
    <row r="24" spans="1:14" ht="13.5" customHeight="1">
      <c r="A24" s="22" t="s">
        <v>20</v>
      </c>
      <c r="B24" s="112" t="s">
        <v>21</v>
      </c>
      <c r="C24" s="113"/>
      <c r="D24" s="114"/>
      <c r="E24" s="41">
        <f>E25+E26</f>
        <v>7178551.23</v>
      </c>
      <c r="F24" s="42">
        <f aca="true" t="shared" si="3" ref="F24:N24">F25+F26</f>
        <v>10542608.34</v>
      </c>
      <c r="G24" s="42">
        <f t="shared" si="3"/>
        <v>19630933.82</v>
      </c>
      <c r="H24" s="42">
        <f t="shared" si="3"/>
        <v>16045798.18</v>
      </c>
      <c r="I24" s="42">
        <f t="shared" si="3"/>
        <v>15037400</v>
      </c>
      <c r="J24" s="42">
        <f t="shared" si="3"/>
        <v>9457216</v>
      </c>
      <c r="K24" s="42">
        <f t="shared" si="3"/>
        <v>8848600</v>
      </c>
      <c r="L24" s="42">
        <f t="shared" si="3"/>
        <v>8066000</v>
      </c>
      <c r="M24" s="42">
        <f t="shared" si="3"/>
        <v>11066000</v>
      </c>
      <c r="N24" s="42">
        <f t="shared" si="3"/>
        <v>7066000</v>
      </c>
    </row>
    <row r="25" spans="1:14" ht="13.5" customHeight="1">
      <c r="A25" s="21" t="s">
        <v>3</v>
      </c>
      <c r="B25" s="4"/>
      <c r="C25" s="132" t="s">
        <v>22</v>
      </c>
      <c r="D25" s="133"/>
      <c r="E25" s="68">
        <v>6617678.82</v>
      </c>
      <c r="F25" s="69">
        <f>8822366+320242.34</f>
        <v>9142608.34</v>
      </c>
      <c r="G25" s="40">
        <v>18630933.82</v>
      </c>
      <c r="H25" s="40">
        <v>15045798.18</v>
      </c>
      <c r="I25" s="40">
        <v>14037400</v>
      </c>
      <c r="J25" s="40">
        <v>8457216</v>
      </c>
      <c r="K25" s="40">
        <v>7848600</v>
      </c>
      <c r="L25" s="40">
        <v>7066000</v>
      </c>
      <c r="M25" s="40">
        <v>10066000</v>
      </c>
      <c r="N25" s="40">
        <v>6066000</v>
      </c>
    </row>
    <row r="26" spans="1:14" ht="13.5" customHeight="1">
      <c r="A26" s="21" t="s">
        <v>5</v>
      </c>
      <c r="B26" s="4"/>
      <c r="C26" s="132" t="s">
        <v>23</v>
      </c>
      <c r="D26" s="133"/>
      <c r="E26" s="68">
        <v>560872.41</v>
      </c>
      <c r="F26" s="69">
        <f>700000+700000</f>
        <v>1400000</v>
      </c>
      <c r="G26" s="40">
        <v>1000000</v>
      </c>
      <c r="H26" s="40">
        <v>1000000</v>
      </c>
      <c r="I26" s="40">
        <v>1000000</v>
      </c>
      <c r="J26" s="40">
        <v>1000000</v>
      </c>
      <c r="K26" s="40">
        <v>1000000</v>
      </c>
      <c r="L26" s="40">
        <v>1000000</v>
      </c>
      <c r="M26" s="40">
        <v>1000000</v>
      </c>
      <c r="N26" s="40">
        <v>1000000</v>
      </c>
    </row>
    <row r="27" spans="1:14" ht="13.5" customHeight="1">
      <c r="A27" s="22" t="s">
        <v>24</v>
      </c>
      <c r="B27" s="112" t="s">
        <v>25</v>
      </c>
      <c r="C27" s="113"/>
      <c r="D27" s="114"/>
      <c r="E27" s="70"/>
      <c r="F27" s="71"/>
      <c r="G27" s="42"/>
      <c r="H27" s="42"/>
      <c r="I27" s="42"/>
      <c r="J27" s="42"/>
      <c r="K27" s="42"/>
      <c r="L27" s="42"/>
      <c r="M27" s="42"/>
      <c r="N27" s="42"/>
    </row>
    <row r="28" spans="1:14" ht="13.5" customHeight="1">
      <c r="A28" s="23" t="s">
        <v>26</v>
      </c>
      <c r="B28" s="129" t="s">
        <v>51</v>
      </c>
      <c r="C28" s="130"/>
      <c r="D28" s="131"/>
      <c r="E28" s="47">
        <f>E23-E24-E27</f>
        <v>27396639.600000013</v>
      </c>
      <c r="F28" s="48">
        <f>F23-F24-F27</f>
        <v>21862679.719999988</v>
      </c>
      <c r="G28" s="48">
        <f>G23-G24-G27</f>
        <v>44369066.18</v>
      </c>
      <c r="H28" s="48">
        <f aca="true" t="shared" si="4" ref="H28:N28">H23-H24-H27</f>
        <v>45954201.82</v>
      </c>
      <c r="I28" s="48">
        <f>I23-I24-I27</f>
        <v>21962600</v>
      </c>
      <c r="J28" s="48">
        <f t="shared" si="4"/>
        <v>23542784</v>
      </c>
      <c r="K28" s="48">
        <f t="shared" si="4"/>
        <v>23151400</v>
      </c>
      <c r="L28" s="48">
        <f t="shared" si="4"/>
        <v>24934000</v>
      </c>
      <c r="M28" s="48">
        <f t="shared" si="4"/>
        <v>20934000</v>
      </c>
      <c r="N28" s="48">
        <f t="shared" si="4"/>
        <v>24934000</v>
      </c>
    </row>
    <row r="29" spans="1:14" ht="13.5" customHeight="1">
      <c r="A29" s="22" t="s">
        <v>27</v>
      </c>
      <c r="B29" s="112" t="s">
        <v>28</v>
      </c>
      <c r="C29" s="113"/>
      <c r="D29" s="114"/>
      <c r="E29" s="70">
        <v>45930300.64</v>
      </c>
      <c r="F29" s="71">
        <f>59129094.87-5105385.15-950000+17538+2784586.46-2300000+76877+221004.62+643935-207887.15-953745-2517586</f>
        <v>50838432.65</v>
      </c>
      <c r="G29" s="71">
        <f>86000000+2000000</f>
        <v>88000000</v>
      </c>
      <c r="H29" s="71">
        <f>60000000+2000000+2000000</f>
        <v>64000000</v>
      </c>
      <c r="I29" s="71">
        <v>37000000</v>
      </c>
      <c r="J29" s="71">
        <v>34000000</v>
      </c>
      <c r="K29" s="42">
        <v>32000000</v>
      </c>
      <c r="L29" s="42">
        <v>33000000</v>
      </c>
      <c r="M29" s="42">
        <v>32000000</v>
      </c>
      <c r="N29" s="42">
        <v>32000000</v>
      </c>
    </row>
    <row r="30" spans="1:14" ht="13.5" customHeight="1">
      <c r="A30" s="21" t="s">
        <v>3</v>
      </c>
      <c r="B30" s="4"/>
      <c r="C30" s="80" t="s">
        <v>29</v>
      </c>
      <c r="D30" s="81"/>
      <c r="E30" s="72" t="s">
        <v>67</v>
      </c>
      <c r="F30" s="69">
        <v>24984995.18</v>
      </c>
      <c r="G30" s="74">
        <v>87872508.38</v>
      </c>
      <c r="H30" s="74">
        <v>63853016.77</v>
      </c>
      <c r="I30" s="69">
        <f>13000000+11200000+2116346.11+1000000+380000+250000</f>
        <v>27946346.11</v>
      </c>
      <c r="J30" s="69">
        <v>7695707.6</v>
      </c>
      <c r="K30" s="1"/>
      <c r="L30" s="1"/>
      <c r="M30" s="1"/>
      <c r="N30" s="1"/>
    </row>
    <row r="31" spans="1:14" ht="13.5" customHeight="1">
      <c r="A31" s="22" t="s">
        <v>30</v>
      </c>
      <c r="B31" s="82" t="s">
        <v>31</v>
      </c>
      <c r="C31" s="83"/>
      <c r="D31" s="84"/>
      <c r="E31" s="70">
        <v>28149031.62</v>
      </c>
      <c r="F31" s="71">
        <f>37988205.5-60912.59-9615370.58-9840+2199514.43-2207300+296157.03-2371995.38+544453.57-129440+2342280.95</f>
        <v>28975752.93</v>
      </c>
      <c r="G31" s="71">
        <f>50030933.82+3600000-10000000</f>
        <v>43630933.82</v>
      </c>
      <c r="H31" s="71">
        <f>16045798.18+2000000</f>
        <v>18045798.18</v>
      </c>
      <c r="I31" s="71">
        <v>15037400</v>
      </c>
      <c r="J31" s="71">
        <v>10457216</v>
      </c>
      <c r="K31" s="42">
        <v>8848600</v>
      </c>
      <c r="L31" s="42">
        <v>8066000</v>
      </c>
      <c r="M31" s="42">
        <v>11066000</v>
      </c>
      <c r="N31" s="42">
        <v>7066000</v>
      </c>
    </row>
    <row r="32" spans="1:14" ht="13.5" customHeight="1" thickBot="1">
      <c r="A32" s="24" t="s">
        <v>32</v>
      </c>
      <c r="B32" s="109" t="s">
        <v>50</v>
      </c>
      <c r="C32" s="110"/>
      <c r="D32" s="111"/>
      <c r="E32" s="67">
        <f>E28-E29+E31</f>
        <v>9615370.580000013</v>
      </c>
      <c r="F32" s="20">
        <f>F28-F29+F31</f>
        <v>0</v>
      </c>
      <c r="G32" s="20">
        <f>G28-G29+G31</f>
        <v>0</v>
      </c>
      <c r="H32" s="20">
        <f>-(H28-H29+H31)</f>
        <v>0</v>
      </c>
      <c r="I32" s="20">
        <f>-(I28-I29+I31)</f>
        <v>0</v>
      </c>
      <c r="J32" s="20">
        <f>-(J28-J29+J31)</f>
        <v>0</v>
      </c>
      <c r="K32" s="20">
        <f>K28-K29+K31</f>
        <v>0</v>
      </c>
      <c r="L32" s="20">
        <f>L28-L29+L31</f>
        <v>0</v>
      </c>
      <c r="M32" s="20">
        <f>M28-M29+M31</f>
        <v>0</v>
      </c>
      <c r="N32" s="20">
        <f>N28-N29+N31</f>
        <v>0</v>
      </c>
    </row>
    <row r="33" spans="1:14" ht="13.5" customHeight="1">
      <c r="A33" s="25" t="s">
        <v>33</v>
      </c>
      <c r="B33" s="126" t="s">
        <v>37</v>
      </c>
      <c r="C33" s="127"/>
      <c r="D33" s="128"/>
      <c r="E33" s="73">
        <v>37733923.12</v>
      </c>
      <c r="F33" s="60">
        <f>E33+F31-F25</f>
        <v>57567067.70999999</v>
      </c>
      <c r="G33" s="60">
        <f aca="true" t="shared" si="5" ref="G33:N33">F33+G31-G25</f>
        <v>82567067.71000001</v>
      </c>
      <c r="H33" s="60">
        <f>G33+H31-H25</f>
        <v>85567067.71000001</v>
      </c>
      <c r="I33" s="60">
        <f t="shared" si="5"/>
        <v>86567067.71000001</v>
      </c>
      <c r="J33" s="60">
        <f t="shared" si="5"/>
        <v>88567067.71000001</v>
      </c>
      <c r="K33" s="60">
        <f t="shared" si="5"/>
        <v>89567067.71000001</v>
      </c>
      <c r="L33" s="60">
        <f t="shared" si="5"/>
        <v>90567067.71000001</v>
      </c>
      <c r="M33" s="60">
        <f t="shared" si="5"/>
        <v>91567067.71000001</v>
      </c>
      <c r="N33" s="60">
        <f t="shared" si="5"/>
        <v>92567067.71000001</v>
      </c>
    </row>
    <row r="34" spans="1:14" ht="13.5" customHeight="1">
      <c r="A34" s="21" t="s">
        <v>3</v>
      </c>
      <c r="B34" s="4"/>
      <c r="C34" s="118" t="s">
        <v>38</v>
      </c>
      <c r="D34" s="119"/>
      <c r="E34" s="16"/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>
      <c r="A35" s="21" t="s">
        <v>5</v>
      </c>
      <c r="B35" s="4"/>
      <c r="C35" s="118" t="s">
        <v>39</v>
      </c>
      <c r="D35" s="119"/>
      <c r="E35" s="16"/>
      <c r="F35" s="1"/>
      <c r="G35" s="1"/>
      <c r="H35" s="1"/>
      <c r="I35" s="1"/>
      <c r="J35" s="1"/>
      <c r="K35" s="1"/>
      <c r="L35" s="1"/>
      <c r="M35" s="1"/>
      <c r="N35" s="1"/>
    </row>
    <row r="36" spans="1:14" ht="39.75" customHeight="1">
      <c r="A36" s="22" t="s">
        <v>34</v>
      </c>
      <c r="B36" s="82" t="s">
        <v>40</v>
      </c>
      <c r="C36" s="83"/>
      <c r="D36" s="84"/>
      <c r="E36" s="15"/>
      <c r="F36" s="2"/>
      <c r="G36" s="2"/>
      <c r="H36" s="2"/>
      <c r="I36" s="2"/>
      <c r="J36" s="2"/>
      <c r="K36" s="2"/>
      <c r="L36" s="2"/>
      <c r="M36" s="2"/>
      <c r="N36" s="2"/>
    </row>
    <row r="37" spans="1:14" ht="13.5" customHeight="1">
      <c r="A37" s="135" t="s">
        <v>35</v>
      </c>
      <c r="B37" s="82" t="s">
        <v>97</v>
      </c>
      <c r="C37" s="83"/>
      <c r="D37" s="83"/>
      <c r="E37" s="57" t="s">
        <v>96</v>
      </c>
      <c r="F37" s="53" t="s">
        <v>96</v>
      </c>
      <c r="G37" s="53" t="s">
        <v>96</v>
      </c>
      <c r="H37" s="59">
        <f aca="true" t="shared" si="6" ref="H37:N37">+(H24+H16)/H8</f>
        <v>0.08464872172588832</v>
      </c>
      <c r="I37" s="59">
        <f t="shared" si="6"/>
        <v>0.08924228571428572</v>
      </c>
      <c r="J37" s="59">
        <f t="shared" si="6"/>
        <v>0.05806520930232558</v>
      </c>
      <c r="K37" s="59">
        <f t="shared" si="6"/>
        <v>0.05202674418604651</v>
      </c>
      <c r="L37" s="59">
        <f t="shared" si="6"/>
        <v>0.0466242774566474</v>
      </c>
      <c r="M37" s="59">
        <f t="shared" si="6"/>
        <v>0.06396531791907514</v>
      </c>
      <c r="N37" s="59">
        <f t="shared" si="6"/>
        <v>0.04060919540229885</v>
      </c>
    </row>
    <row r="38" spans="1:14" ht="13.5" customHeight="1" hidden="1">
      <c r="A38" s="136"/>
      <c r="B38" s="55"/>
      <c r="C38" s="56"/>
      <c r="D38" s="56"/>
      <c r="E38" s="57">
        <f aca="true" t="shared" si="7" ref="E38:N38">+(E45+E11)/E8</f>
        <v>0.09951096490033776</v>
      </c>
      <c r="F38" s="53">
        <f t="shared" si="7"/>
        <v>0.07841985808393998</v>
      </c>
      <c r="G38" s="53">
        <f t="shared" si="7"/>
        <v>0.16080402010050251</v>
      </c>
      <c r="H38" s="59">
        <f t="shared" si="7"/>
        <v>0.16243654822335024</v>
      </c>
      <c r="I38" s="59">
        <f t="shared" si="7"/>
        <v>0.1657142857142857</v>
      </c>
      <c r="J38" s="59">
        <f t="shared" si="7"/>
        <v>0.1686046511627907</v>
      </c>
      <c r="K38" s="59">
        <f t="shared" si="7"/>
        <v>0.16279069767441862</v>
      </c>
      <c r="L38" s="59">
        <f t="shared" si="7"/>
        <v>0.1676300578034682</v>
      </c>
      <c r="M38" s="59">
        <f t="shared" si="7"/>
        <v>0.16184971098265896</v>
      </c>
      <c r="N38" s="59">
        <f t="shared" si="7"/>
        <v>0.16091954022988506</v>
      </c>
    </row>
    <row r="39" spans="1:14" ht="27" customHeight="1">
      <c r="A39" s="22" t="s">
        <v>3</v>
      </c>
      <c r="B39" s="105" t="s">
        <v>100</v>
      </c>
      <c r="C39" s="106"/>
      <c r="D39" s="107"/>
      <c r="E39" s="53" t="s">
        <v>96</v>
      </c>
      <c r="F39" s="53" t="s">
        <v>96</v>
      </c>
      <c r="G39" s="53" t="s">
        <v>96</v>
      </c>
      <c r="H39" s="59">
        <f>+(E38+F38+G38)/3</f>
        <v>0.11291161436159342</v>
      </c>
      <c r="I39" s="59">
        <f aca="true" t="shared" si="8" ref="I39:N39">+(F38+G38+H38)/3</f>
        <v>0.1338868088025976</v>
      </c>
      <c r="J39" s="59">
        <f t="shared" si="8"/>
        <v>0.16298495134604615</v>
      </c>
      <c r="K39" s="59">
        <f t="shared" si="8"/>
        <v>0.16558516170014223</v>
      </c>
      <c r="L39" s="59">
        <f t="shared" si="8"/>
        <v>0.165703211517165</v>
      </c>
      <c r="M39" s="59">
        <f t="shared" si="8"/>
        <v>0.16634180221355918</v>
      </c>
      <c r="N39" s="59">
        <f t="shared" si="8"/>
        <v>0.1640901554868486</v>
      </c>
    </row>
    <row r="40" spans="1:14" ht="28.5" customHeight="1">
      <c r="A40" s="22" t="s">
        <v>36</v>
      </c>
      <c r="B40" s="82" t="s">
        <v>41</v>
      </c>
      <c r="C40" s="83"/>
      <c r="D40" s="84"/>
      <c r="E40" s="18" t="s">
        <v>96</v>
      </c>
      <c r="F40" s="9" t="s">
        <v>96</v>
      </c>
      <c r="G40" s="9" t="s">
        <v>96</v>
      </c>
      <c r="H40" s="9" t="str">
        <f aca="true" t="shared" si="9" ref="H40:N40">IF(H37&lt;=H39,"Zgodny z art. 243","Niezgodny z art. 243")</f>
        <v>Zgodny z art. 243</v>
      </c>
      <c r="I40" s="9" t="str">
        <f t="shared" si="9"/>
        <v>Zgodny z art. 243</v>
      </c>
      <c r="J40" s="9" t="str">
        <f t="shared" si="9"/>
        <v>Zgodny z art. 243</v>
      </c>
      <c r="K40" s="9" t="str">
        <f t="shared" si="9"/>
        <v>Zgodny z art. 243</v>
      </c>
      <c r="L40" s="9" t="str">
        <f t="shared" si="9"/>
        <v>Zgodny z art. 243</v>
      </c>
      <c r="M40" s="9" t="str">
        <f t="shared" si="9"/>
        <v>Zgodny z art. 243</v>
      </c>
      <c r="N40" s="9" t="str">
        <f t="shared" si="9"/>
        <v>Zgodny z art. 243</v>
      </c>
    </row>
    <row r="41" spans="1:14" ht="37.5" customHeight="1">
      <c r="A41" s="22" t="s">
        <v>42</v>
      </c>
      <c r="B41" s="82" t="s">
        <v>54</v>
      </c>
      <c r="C41" s="83"/>
      <c r="D41" s="84"/>
      <c r="E41" s="17">
        <f>+(E24+E16-E17-E35)/E8</f>
        <v>0.04123686649175319</v>
      </c>
      <c r="F41" s="8">
        <f>+(F24+F16-F17-F35)/F8</f>
        <v>0.06390019827137923</v>
      </c>
      <c r="G41" s="8">
        <f>+(G24+G16-G17-G35)/G8</f>
        <v>0.10191424030150754</v>
      </c>
      <c r="H41" s="61">
        <f>+(H24+H16-H17-H35)/H8</f>
        <v>0.08464872172588832</v>
      </c>
      <c r="I41" s="9" t="s">
        <v>96</v>
      </c>
      <c r="J41" s="9" t="s">
        <v>96</v>
      </c>
      <c r="K41" s="64" t="s">
        <v>96</v>
      </c>
      <c r="L41" s="9" t="s">
        <v>96</v>
      </c>
      <c r="M41" s="9" t="s">
        <v>96</v>
      </c>
      <c r="N41" s="9" t="s">
        <v>96</v>
      </c>
    </row>
    <row r="42" spans="1:14" ht="32.25" customHeight="1" thickBot="1">
      <c r="A42" s="26" t="s">
        <v>43</v>
      </c>
      <c r="B42" s="87" t="s">
        <v>55</v>
      </c>
      <c r="C42" s="88"/>
      <c r="D42" s="89"/>
      <c r="E42" s="19">
        <f>+(E33-E34)/E8</f>
        <v>0.21676083377474467</v>
      </c>
      <c r="F42" s="12">
        <f>+(F33-F34)/F8</f>
        <v>0.32983737332345997</v>
      </c>
      <c r="G42" s="12">
        <f>+(G33-G34)/G8</f>
        <v>0.41490988798994977</v>
      </c>
      <c r="H42" s="62">
        <f>+(H33-H34)/H8</f>
        <v>0.4343505975126904</v>
      </c>
      <c r="I42" s="63" t="s">
        <v>96</v>
      </c>
      <c r="J42" s="9" t="s">
        <v>96</v>
      </c>
      <c r="K42" s="64" t="s">
        <v>96</v>
      </c>
      <c r="L42" s="63" t="s">
        <v>96</v>
      </c>
      <c r="M42" s="9" t="s">
        <v>96</v>
      </c>
      <c r="N42" s="9" t="s">
        <v>96</v>
      </c>
    </row>
    <row r="43" spans="1:14" ht="12">
      <c r="A43" s="33" t="s">
        <v>44</v>
      </c>
      <c r="B43" s="120" t="s">
        <v>81</v>
      </c>
      <c r="C43" s="121"/>
      <c r="D43" s="122"/>
      <c r="E43" s="45">
        <f>+E9</f>
        <v>153908726.15</v>
      </c>
      <c r="F43" s="46">
        <f aca="true" t="shared" si="10" ref="F43:N43">+F9</f>
        <v>161128501.69</v>
      </c>
      <c r="G43" s="46">
        <f t="shared" si="10"/>
        <v>165000000</v>
      </c>
      <c r="H43" s="46">
        <f t="shared" si="10"/>
        <v>165000000</v>
      </c>
      <c r="I43" s="46">
        <f t="shared" si="10"/>
        <v>165000000</v>
      </c>
      <c r="J43" s="46">
        <f t="shared" si="10"/>
        <v>166000000</v>
      </c>
      <c r="K43" s="46">
        <f t="shared" si="10"/>
        <v>166000000</v>
      </c>
      <c r="L43" s="46">
        <f t="shared" si="10"/>
        <v>167000000</v>
      </c>
      <c r="M43" s="46">
        <f t="shared" si="10"/>
        <v>167000000</v>
      </c>
      <c r="N43" s="46">
        <f t="shared" si="10"/>
        <v>168000000</v>
      </c>
    </row>
    <row r="44" spans="1:14" ht="13.5" customHeight="1">
      <c r="A44" s="34" t="s">
        <v>45</v>
      </c>
      <c r="B44" s="90" t="s">
        <v>82</v>
      </c>
      <c r="C44" s="90"/>
      <c r="D44" s="91"/>
      <c r="E44" s="39">
        <f>+E12+E26</f>
        <v>140066591.23</v>
      </c>
      <c r="F44" s="40">
        <f aca="true" t="shared" si="11" ref="F44:N44">+F12+F26</f>
        <v>153141752.87</v>
      </c>
      <c r="G44" s="40">
        <f t="shared" si="11"/>
        <v>136000000</v>
      </c>
      <c r="H44" s="40">
        <f t="shared" si="11"/>
        <v>136000000</v>
      </c>
      <c r="I44" s="40">
        <f t="shared" si="11"/>
        <v>139000000</v>
      </c>
      <c r="J44" s="40">
        <f t="shared" si="11"/>
        <v>140000000</v>
      </c>
      <c r="K44" s="40">
        <f t="shared" si="11"/>
        <v>141000000</v>
      </c>
      <c r="L44" s="40">
        <f t="shared" si="11"/>
        <v>141000000</v>
      </c>
      <c r="M44" s="40">
        <f t="shared" si="11"/>
        <v>142000000</v>
      </c>
      <c r="N44" s="40">
        <f t="shared" si="11"/>
        <v>143000000</v>
      </c>
    </row>
    <row r="45" spans="1:14" ht="12">
      <c r="A45" s="27" t="s">
        <v>46</v>
      </c>
      <c r="B45" s="92" t="s">
        <v>56</v>
      </c>
      <c r="C45" s="92"/>
      <c r="D45" s="93"/>
      <c r="E45" s="47">
        <f>+E43-E44</f>
        <v>13842134.920000017</v>
      </c>
      <c r="F45" s="48">
        <f aca="true" t="shared" si="12" ref="F45:N45">+F43-F44</f>
        <v>7986748.819999993</v>
      </c>
      <c r="G45" s="48">
        <f t="shared" si="12"/>
        <v>29000000</v>
      </c>
      <c r="H45" s="48">
        <f t="shared" si="12"/>
        <v>29000000</v>
      </c>
      <c r="I45" s="48">
        <f t="shared" si="12"/>
        <v>26000000</v>
      </c>
      <c r="J45" s="48">
        <f t="shared" si="12"/>
        <v>26000000</v>
      </c>
      <c r="K45" s="48">
        <f t="shared" si="12"/>
        <v>25000000</v>
      </c>
      <c r="L45" s="48">
        <f t="shared" si="12"/>
        <v>26000000</v>
      </c>
      <c r="M45" s="48">
        <f t="shared" si="12"/>
        <v>25000000</v>
      </c>
      <c r="N45" s="48">
        <f t="shared" si="12"/>
        <v>25000000</v>
      </c>
    </row>
    <row r="46" spans="1:14" ht="40.5" customHeight="1">
      <c r="A46" s="34" t="s">
        <v>58</v>
      </c>
      <c r="B46" s="101" t="s">
        <v>57</v>
      </c>
      <c r="C46" s="101"/>
      <c r="D46" s="102"/>
      <c r="E46" s="39">
        <f aca="true" t="shared" si="13" ref="E46:N46">+IF(E45&lt;0,IF(-E45&gt;E20,"brak środków",-E45),0)</f>
        <v>0</v>
      </c>
      <c r="F46" s="40">
        <f t="shared" si="13"/>
        <v>0</v>
      </c>
      <c r="G46" s="40">
        <f t="shared" si="13"/>
        <v>0</v>
      </c>
      <c r="H46" s="40">
        <f t="shared" si="13"/>
        <v>0</v>
      </c>
      <c r="I46" s="40">
        <f t="shared" si="13"/>
        <v>0</v>
      </c>
      <c r="J46" s="40">
        <f t="shared" si="13"/>
        <v>0</v>
      </c>
      <c r="K46" s="40">
        <f t="shared" si="13"/>
        <v>0</v>
      </c>
      <c r="L46" s="40">
        <f t="shared" si="13"/>
        <v>0</v>
      </c>
      <c r="M46" s="40">
        <f t="shared" si="13"/>
        <v>0</v>
      </c>
      <c r="N46" s="40">
        <f t="shared" si="13"/>
        <v>0</v>
      </c>
    </row>
    <row r="47" spans="1:14" ht="12">
      <c r="A47" s="34" t="s">
        <v>47</v>
      </c>
      <c r="B47" s="90" t="s">
        <v>83</v>
      </c>
      <c r="C47" s="90"/>
      <c r="D47" s="91"/>
      <c r="E47" s="39">
        <f>+E10</f>
        <v>20172183.5</v>
      </c>
      <c r="F47" s="40">
        <f aca="true" t="shared" si="14" ref="F47:N47">+F10</f>
        <v>13403168.66</v>
      </c>
      <c r="G47" s="40">
        <f t="shared" si="14"/>
        <v>34000000</v>
      </c>
      <c r="H47" s="40">
        <f t="shared" si="14"/>
        <v>32000000</v>
      </c>
      <c r="I47" s="40">
        <f t="shared" si="14"/>
        <v>10000000</v>
      </c>
      <c r="J47" s="40">
        <f t="shared" si="14"/>
        <v>6000000</v>
      </c>
      <c r="K47" s="40">
        <f t="shared" si="14"/>
        <v>6000000</v>
      </c>
      <c r="L47" s="40">
        <f t="shared" si="14"/>
        <v>6000000</v>
      </c>
      <c r="M47" s="40">
        <f t="shared" si="14"/>
        <v>6000000</v>
      </c>
      <c r="N47" s="40">
        <f t="shared" si="14"/>
        <v>6000000</v>
      </c>
    </row>
    <row r="48" spans="1:14" ht="13.5" customHeight="1">
      <c r="A48" s="34" t="s">
        <v>48</v>
      </c>
      <c r="B48" s="90" t="s">
        <v>84</v>
      </c>
      <c r="C48" s="90"/>
      <c r="D48" s="91"/>
      <c r="E48" s="39">
        <f>+E29</f>
        <v>45930300.64</v>
      </c>
      <c r="F48" s="40">
        <f aca="true" t="shared" si="15" ref="F48:N48">+F29</f>
        <v>50838432.65</v>
      </c>
      <c r="G48" s="40">
        <f t="shared" si="15"/>
        <v>88000000</v>
      </c>
      <c r="H48" s="40">
        <f t="shared" si="15"/>
        <v>64000000</v>
      </c>
      <c r="I48" s="40">
        <f t="shared" si="15"/>
        <v>37000000</v>
      </c>
      <c r="J48" s="40">
        <f t="shared" si="15"/>
        <v>34000000</v>
      </c>
      <c r="K48" s="40">
        <f t="shared" si="15"/>
        <v>32000000</v>
      </c>
      <c r="L48" s="40">
        <f t="shared" si="15"/>
        <v>33000000</v>
      </c>
      <c r="M48" s="40">
        <f t="shared" si="15"/>
        <v>32000000</v>
      </c>
      <c r="N48" s="40">
        <f t="shared" si="15"/>
        <v>32000000</v>
      </c>
    </row>
    <row r="49" spans="1:14" ht="12">
      <c r="A49" s="27" t="s">
        <v>59</v>
      </c>
      <c r="B49" s="92" t="s">
        <v>65</v>
      </c>
      <c r="C49" s="92"/>
      <c r="D49" s="93"/>
      <c r="E49" s="47">
        <f>+E47-E48</f>
        <v>-25758117.14</v>
      </c>
      <c r="F49" s="48">
        <f aca="true" t="shared" si="16" ref="F49:N49">+F47-F48</f>
        <v>-37435263.989999995</v>
      </c>
      <c r="G49" s="48">
        <f t="shared" si="16"/>
        <v>-54000000</v>
      </c>
      <c r="H49" s="48">
        <f t="shared" si="16"/>
        <v>-32000000</v>
      </c>
      <c r="I49" s="48">
        <f t="shared" si="16"/>
        <v>-27000000</v>
      </c>
      <c r="J49" s="48">
        <f t="shared" si="16"/>
        <v>-28000000</v>
      </c>
      <c r="K49" s="48">
        <f t="shared" si="16"/>
        <v>-26000000</v>
      </c>
      <c r="L49" s="48">
        <f t="shared" si="16"/>
        <v>-27000000</v>
      </c>
      <c r="M49" s="48">
        <f t="shared" si="16"/>
        <v>-26000000</v>
      </c>
      <c r="N49" s="48">
        <f t="shared" si="16"/>
        <v>-26000000</v>
      </c>
    </row>
    <row r="50" spans="1:14" ht="12">
      <c r="A50" s="34" t="s">
        <v>60</v>
      </c>
      <c r="B50" s="37" t="s">
        <v>85</v>
      </c>
      <c r="C50" s="35"/>
      <c r="D50" s="36"/>
      <c r="E50" s="39">
        <f>+E8</f>
        <v>174080909.65</v>
      </c>
      <c r="F50" s="40">
        <f aca="true" t="shared" si="17" ref="F50:N50">+F8</f>
        <v>174531670.35</v>
      </c>
      <c r="G50" s="40">
        <f t="shared" si="17"/>
        <v>199000000</v>
      </c>
      <c r="H50" s="40">
        <f t="shared" si="17"/>
        <v>197000000</v>
      </c>
      <c r="I50" s="40">
        <f t="shared" si="17"/>
        <v>175000000</v>
      </c>
      <c r="J50" s="40">
        <f t="shared" si="17"/>
        <v>172000000</v>
      </c>
      <c r="K50" s="40">
        <f t="shared" si="17"/>
        <v>172000000</v>
      </c>
      <c r="L50" s="40">
        <f t="shared" si="17"/>
        <v>173000000</v>
      </c>
      <c r="M50" s="40">
        <f t="shared" si="17"/>
        <v>173000000</v>
      </c>
      <c r="N50" s="40">
        <f t="shared" si="17"/>
        <v>174000000</v>
      </c>
    </row>
    <row r="51" spans="1:14" ht="13.5" customHeight="1">
      <c r="A51" s="34" t="s">
        <v>61</v>
      </c>
      <c r="B51" s="90" t="s">
        <v>86</v>
      </c>
      <c r="C51" s="90"/>
      <c r="D51" s="91"/>
      <c r="E51" s="39">
        <f>+E48+E44</f>
        <v>185996891.87</v>
      </c>
      <c r="F51" s="40">
        <f aca="true" t="shared" si="18" ref="F51:N51">+F48+F44</f>
        <v>203980185.52</v>
      </c>
      <c r="G51" s="40">
        <f t="shared" si="18"/>
        <v>224000000</v>
      </c>
      <c r="H51" s="40">
        <f t="shared" si="18"/>
        <v>200000000</v>
      </c>
      <c r="I51" s="40">
        <f t="shared" si="18"/>
        <v>176000000</v>
      </c>
      <c r="J51" s="40">
        <f t="shared" si="18"/>
        <v>174000000</v>
      </c>
      <c r="K51" s="40">
        <f t="shared" si="18"/>
        <v>173000000</v>
      </c>
      <c r="L51" s="40">
        <f t="shared" si="18"/>
        <v>174000000</v>
      </c>
      <c r="M51" s="40">
        <f t="shared" si="18"/>
        <v>174000000</v>
      </c>
      <c r="N51" s="40">
        <f t="shared" si="18"/>
        <v>175000000</v>
      </c>
    </row>
    <row r="52" spans="1:14" ht="13.5" customHeight="1">
      <c r="A52" s="27" t="s">
        <v>62</v>
      </c>
      <c r="B52" s="124" t="s">
        <v>66</v>
      </c>
      <c r="C52" s="124"/>
      <c r="D52" s="125"/>
      <c r="E52" s="47">
        <f>+E50-E51</f>
        <v>-11915982.219999999</v>
      </c>
      <c r="F52" s="48">
        <f aca="true" t="shared" si="19" ref="F52:N52">+F50-F51</f>
        <v>-29448515.170000017</v>
      </c>
      <c r="G52" s="48">
        <f t="shared" si="19"/>
        <v>-25000000</v>
      </c>
      <c r="H52" s="48">
        <f t="shared" si="19"/>
        <v>-3000000</v>
      </c>
      <c r="I52" s="48">
        <f t="shared" si="19"/>
        <v>-1000000</v>
      </c>
      <c r="J52" s="48">
        <f t="shared" si="19"/>
        <v>-2000000</v>
      </c>
      <c r="K52" s="48">
        <f t="shared" si="19"/>
        <v>-1000000</v>
      </c>
      <c r="L52" s="48">
        <f t="shared" si="19"/>
        <v>-1000000</v>
      </c>
      <c r="M52" s="48">
        <f t="shared" si="19"/>
        <v>-1000000</v>
      </c>
      <c r="N52" s="48">
        <f t="shared" si="19"/>
        <v>-1000000</v>
      </c>
    </row>
    <row r="53" spans="1:14" ht="13.5" customHeight="1">
      <c r="A53" s="34" t="s">
        <v>63</v>
      </c>
      <c r="B53" s="90" t="s">
        <v>87</v>
      </c>
      <c r="C53" s="90"/>
      <c r="D53" s="91"/>
      <c r="E53" s="39">
        <f>+E20+E22+E31</f>
        <v>28149031.62</v>
      </c>
      <c r="F53" s="40">
        <f aca="true" t="shared" si="20" ref="F53:N53">+F20+F22+F31</f>
        <v>38591123.51</v>
      </c>
      <c r="G53" s="40">
        <f t="shared" si="20"/>
        <v>43630933.82</v>
      </c>
      <c r="H53" s="40">
        <f t="shared" si="20"/>
        <v>18045798.18</v>
      </c>
      <c r="I53" s="40">
        <f t="shared" si="20"/>
        <v>15037400</v>
      </c>
      <c r="J53" s="40">
        <f t="shared" si="20"/>
        <v>10457216</v>
      </c>
      <c r="K53" s="40">
        <f t="shared" si="20"/>
        <v>8848600</v>
      </c>
      <c r="L53" s="40">
        <f t="shared" si="20"/>
        <v>8066000</v>
      </c>
      <c r="M53" s="40">
        <f t="shared" si="20"/>
        <v>11066000</v>
      </c>
      <c r="N53" s="40">
        <f t="shared" si="20"/>
        <v>7066000</v>
      </c>
    </row>
    <row r="54" spans="1:14" ht="13.5" customHeight="1" thickBot="1">
      <c r="A54" s="38" t="s">
        <v>64</v>
      </c>
      <c r="B54" s="103" t="s">
        <v>88</v>
      </c>
      <c r="C54" s="103"/>
      <c r="D54" s="104"/>
      <c r="E54" s="49">
        <f>E25+E27</f>
        <v>6617678.82</v>
      </c>
      <c r="F54" s="50">
        <f aca="true" t="shared" si="21" ref="F54:N54">F25+F27</f>
        <v>9142608.34</v>
      </c>
      <c r="G54" s="50">
        <f t="shared" si="21"/>
        <v>18630933.82</v>
      </c>
      <c r="H54" s="50">
        <f t="shared" si="21"/>
        <v>15045798.18</v>
      </c>
      <c r="I54" s="50">
        <f t="shared" si="21"/>
        <v>14037400</v>
      </c>
      <c r="J54" s="50">
        <f t="shared" si="21"/>
        <v>8457216</v>
      </c>
      <c r="K54" s="50">
        <f t="shared" si="21"/>
        <v>7848600</v>
      </c>
      <c r="L54" s="50">
        <f t="shared" si="21"/>
        <v>7066000</v>
      </c>
      <c r="M54" s="50">
        <f t="shared" si="21"/>
        <v>10066000</v>
      </c>
      <c r="N54" s="50">
        <f t="shared" si="21"/>
        <v>6066000</v>
      </c>
    </row>
    <row r="55" spans="1:14" ht="29.25" customHeight="1">
      <c r="A55" s="28" t="s">
        <v>77</v>
      </c>
      <c r="B55" s="108" t="s">
        <v>90</v>
      </c>
      <c r="C55" s="108"/>
      <c r="D55" s="108"/>
      <c r="E55" s="66">
        <v>11915982.22</v>
      </c>
      <c r="F55" s="66">
        <f>F57+F58</f>
        <v>29448515.169999998</v>
      </c>
      <c r="G55" s="66">
        <f>G58</f>
        <v>25000000</v>
      </c>
      <c r="H55" s="66">
        <f aca="true" t="shared" si="22" ref="H55:N55">H58</f>
        <v>3000000</v>
      </c>
      <c r="I55" s="66">
        <f t="shared" si="22"/>
        <v>1000000</v>
      </c>
      <c r="J55" s="66">
        <f t="shared" si="22"/>
        <v>2000000</v>
      </c>
      <c r="K55" s="66">
        <f t="shared" si="22"/>
        <v>1000000</v>
      </c>
      <c r="L55" s="66">
        <f t="shared" si="22"/>
        <v>1000000</v>
      </c>
      <c r="M55" s="66">
        <f t="shared" si="22"/>
        <v>1000000</v>
      </c>
      <c r="N55" s="66">
        <f t="shared" si="22"/>
        <v>1000000</v>
      </c>
    </row>
    <row r="56" spans="1:14" ht="14.25" customHeight="1">
      <c r="A56" s="29" t="s">
        <v>3</v>
      </c>
      <c r="B56" s="79" t="s">
        <v>69</v>
      </c>
      <c r="C56" s="79"/>
      <c r="D56" s="79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4.25" customHeight="1">
      <c r="A57" s="29" t="s">
        <v>5</v>
      </c>
      <c r="B57" s="79" t="s">
        <v>70</v>
      </c>
      <c r="C57" s="79"/>
      <c r="D57" s="79"/>
      <c r="E57" s="42"/>
      <c r="F57" s="42">
        <f>F21</f>
        <v>472762.24</v>
      </c>
      <c r="G57" s="42"/>
      <c r="H57" s="42"/>
      <c r="I57" s="42"/>
      <c r="J57" s="42"/>
      <c r="K57" s="42"/>
      <c r="L57" s="42"/>
      <c r="M57" s="42"/>
      <c r="N57" s="42"/>
    </row>
    <row r="58" spans="1:14" ht="14.25" customHeight="1">
      <c r="A58" s="29" t="s">
        <v>10</v>
      </c>
      <c r="B58" s="79" t="s">
        <v>71</v>
      </c>
      <c r="C58" s="79"/>
      <c r="D58" s="79"/>
      <c r="E58" s="42">
        <f>E55</f>
        <v>11915982.22</v>
      </c>
      <c r="F58" s="42">
        <f>F31</f>
        <v>28975752.93</v>
      </c>
      <c r="G58" s="42">
        <f aca="true" t="shared" si="23" ref="G58:N58">-G52</f>
        <v>25000000</v>
      </c>
      <c r="H58" s="42">
        <f t="shared" si="23"/>
        <v>3000000</v>
      </c>
      <c r="I58" s="42">
        <f t="shared" si="23"/>
        <v>1000000</v>
      </c>
      <c r="J58" s="42">
        <f t="shared" si="23"/>
        <v>2000000</v>
      </c>
      <c r="K58" s="42">
        <f t="shared" si="23"/>
        <v>1000000</v>
      </c>
      <c r="L58" s="42">
        <f t="shared" si="23"/>
        <v>1000000</v>
      </c>
      <c r="M58" s="42">
        <f t="shared" si="23"/>
        <v>1000000</v>
      </c>
      <c r="N58" s="42">
        <f t="shared" si="23"/>
        <v>1000000</v>
      </c>
    </row>
    <row r="59" spans="1:14" ht="14.25" customHeight="1">
      <c r="A59" s="29" t="s">
        <v>13</v>
      </c>
      <c r="B59" s="79" t="s">
        <v>72</v>
      </c>
      <c r="C59" s="79"/>
      <c r="D59" s="79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4.25" customHeight="1">
      <c r="A60" s="29" t="s">
        <v>49</v>
      </c>
      <c r="B60" s="79" t="s">
        <v>73</v>
      </c>
      <c r="C60" s="79"/>
      <c r="D60" s="79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4.25" customHeight="1" thickBot="1">
      <c r="A61" s="30" t="s">
        <v>74</v>
      </c>
      <c r="B61" s="100" t="s">
        <v>75</v>
      </c>
      <c r="C61" s="100"/>
      <c r="D61" s="100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29.25" customHeight="1">
      <c r="A62" s="32" t="s">
        <v>78</v>
      </c>
      <c r="B62" s="123" t="s">
        <v>76</v>
      </c>
      <c r="C62" s="123"/>
      <c r="D62" s="123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8:14" ht="12">
      <c r="H63" s="54"/>
      <c r="I63" s="54"/>
      <c r="J63" s="54"/>
      <c r="K63" s="54"/>
      <c r="L63" s="54"/>
      <c r="M63" s="54"/>
      <c r="N63" s="54"/>
    </row>
    <row r="64" spans="8:14" ht="12">
      <c r="H64" s="54"/>
      <c r="I64" s="54"/>
      <c r="J64" s="54"/>
      <c r="K64" s="54"/>
      <c r="L64" s="54"/>
      <c r="M64" s="54"/>
      <c r="N64" s="54"/>
    </row>
    <row r="65" spans="1:14" ht="12">
      <c r="A65" s="58" t="s">
        <v>98</v>
      </c>
      <c r="H65" s="54"/>
      <c r="I65" s="54"/>
      <c r="J65" s="54"/>
      <c r="K65" s="54"/>
      <c r="L65" s="54"/>
      <c r="M65" s="54"/>
      <c r="N65" s="54"/>
    </row>
    <row r="66" spans="1:14" ht="12">
      <c r="A66" s="58"/>
      <c r="H66" s="54"/>
      <c r="I66" s="54"/>
      <c r="J66" s="54"/>
      <c r="K66" s="54"/>
      <c r="L66" s="54"/>
      <c r="M66" s="54"/>
      <c r="N66" s="54"/>
    </row>
    <row r="67" spans="1:14" ht="12">
      <c r="A67" s="58"/>
      <c r="H67" s="54"/>
      <c r="I67" s="54"/>
      <c r="J67" s="54"/>
      <c r="K67" s="54"/>
      <c r="L67" s="54"/>
      <c r="M67" s="54"/>
      <c r="N67" s="54"/>
    </row>
    <row r="68" spans="1:14" ht="12">
      <c r="A68" s="58"/>
      <c r="H68" s="11"/>
      <c r="I68" s="11"/>
      <c r="J68" s="11"/>
      <c r="K68" s="11"/>
      <c r="L68" s="11"/>
      <c r="M68" s="11"/>
      <c r="N68" s="11"/>
    </row>
    <row r="69" ht="12">
      <c r="A69" s="58" t="s">
        <v>99</v>
      </c>
    </row>
    <row r="70" ht="12">
      <c r="A70" s="58"/>
    </row>
  </sheetData>
  <sheetProtection/>
  <mergeCells count="60">
    <mergeCell ref="B12:D12"/>
    <mergeCell ref="C16:D16"/>
    <mergeCell ref="C18:D18"/>
    <mergeCell ref="C13:D13"/>
    <mergeCell ref="B37:D37"/>
    <mergeCell ref="B24:D24"/>
    <mergeCell ref="B28:D28"/>
    <mergeCell ref="B29:D29"/>
    <mergeCell ref="C25:D25"/>
    <mergeCell ref="B27:D27"/>
    <mergeCell ref="C26:D26"/>
    <mergeCell ref="A2:C2"/>
    <mergeCell ref="A37:A38"/>
    <mergeCell ref="A3:N3"/>
    <mergeCell ref="M2:P2"/>
    <mergeCell ref="A5:D5"/>
    <mergeCell ref="C15:D15"/>
    <mergeCell ref="B8:D8"/>
    <mergeCell ref="C9:D9"/>
    <mergeCell ref="C10:D10"/>
    <mergeCell ref="B43:D43"/>
    <mergeCell ref="B62:D62"/>
    <mergeCell ref="C30:D30"/>
    <mergeCell ref="C14:D14"/>
    <mergeCell ref="C34:D34"/>
    <mergeCell ref="B45:D45"/>
    <mergeCell ref="B52:D52"/>
    <mergeCell ref="B33:D33"/>
    <mergeCell ref="B48:D48"/>
    <mergeCell ref="B19:D19"/>
    <mergeCell ref="B55:D55"/>
    <mergeCell ref="B56:D56"/>
    <mergeCell ref="B53:D53"/>
    <mergeCell ref="B44:D44"/>
    <mergeCell ref="B32:D32"/>
    <mergeCell ref="B20:D20"/>
    <mergeCell ref="B22:D22"/>
    <mergeCell ref="B23:D23"/>
    <mergeCell ref="C35:D35"/>
    <mergeCell ref="B41:D41"/>
    <mergeCell ref="A6:A7"/>
    <mergeCell ref="B6:D7"/>
    <mergeCell ref="B61:D61"/>
    <mergeCell ref="B57:D57"/>
    <mergeCell ref="B58:D58"/>
    <mergeCell ref="B46:D46"/>
    <mergeCell ref="B47:D47"/>
    <mergeCell ref="B60:D60"/>
    <mergeCell ref="B54:D54"/>
    <mergeCell ref="B39:D39"/>
    <mergeCell ref="F6:N6"/>
    <mergeCell ref="B59:D59"/>
    <mergeCell ref="C21:D21"/>
    <mergeCell ref="B36:D36"/>
    <mergeCell ref="E6:E7"/>
    <mergeCell ref="B42:D42"/>
    <mergeCell ref="B40:D40"/>
    <mergeCell ref="B31:D31"/>
    <mergeCell ref="B51:D51"/>
    <mergeCell ref="B49:D49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majka_l</cp:lastModifiedBy>
  <cp:lastPrinted>2011-10-04T11:12:29Z</cp:lastPrinted>
  <dcterms:created xsi:type="dcterms:W3CDTF">2010-09-17T02:30:46Z</dcterms:created>
  <dcterms:modified xsi:type="dcterms:W3CDTF">2011-10-04T11:13:19Z</dcterms:modified>
  <cp:category/>
  <cp:version/>
  <cp:contentType/>
  <cp:contentStatus/>
</cp:coreProperties>
</file>