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1">'Arkusz2'!$A:$IV</definedName>
    <definedName name="_xlnm.Print_Area" localSheetId="2">'Arkusz3'!$A:$IV</definedName>
    <definedName name="SHEET_TITLE" localSheetId="0">"Arkusz1"</definedName>
    <definedName name="SHEET_TITLE" localSheetId="1">"Arkusz2"</definedName>
    <definedName name="SHEET_TITLE" localSheetId="2">"Arkusz3"</definedName>
    <definedName name="_xlnm.Print_Titles" localSheetId="0">'Arkusz1'!$4:$5</definedName>
  </definedNames>
  <calcPr fullCalcOnLoad="1"/>
</workbook>
</file>

<file path=xl/sharedStrings.xml><?xml version="1.0" encoding="utf-8"?>
<sst xmlns="http://schemas.openxmlformats.org/spreadsheetml/2006/main" count="223" uniqueCount="113">
  <si>
    <t>limity wydatków w poszczególnych latach (wszystkie lata)</t>
  </si>
  <si>
    <t>- wydatki majątkowe</t>
  </si>
  <si>
    <t>- wydatki bieżące</t>
  </si>
  <si>
    <t>Limit zobowiązań</t>
  </si>
  <si>
    <t>Przedsięwzięcia ogółem</t>
  </si>
  <si>
    <t>Lp</t>
  </si>
  <si>
    <t>od</t>
  </si>
  <si>
    <t>Nazwa i cel</t>
  </si>
  <si>
    <t>do</t>
  </si>
  <si>
    <t>jednostka odpowiedzialna lub koordynująca</t>
  </si>
  <si>
    <t>łączne nakłady finansowe</t>
  </si>
  <si>
    <t>Budowa Przedszkola Nr 10 przy ul. Szkolnej</t>
  </si>
  <si>
    <t>Budowa Przedszkola Nr 3 przy ul. Kopernika</t>
  </si>
  <si>
    <t>Budowa siedziby Urzędu Miasta</t>
  </si>
  <si>
    <t>Remont Stadionu miejskiego II etap</t>
  </si>
  <si>
    <t>Budowa ścieżki rowerowej w ul. Rawskiej na odcinku od ul. Granicznej do ul. Strobowskiej</t>
  </si>
  <si>
    <t>Budowa drogi łączącej Rondo Solidarności z ul. Rawską</t>
  </si>
  <si>
    <t>Oświata i wychowanie</t>
  </si>
  <si>
    <t>Pomoc Społeczna</t>
  </si>
  <si>
    <t>Kultura i ochrona dziedzictwa narodowego</t>
  </si>
  <si>
    <t>Rozbudowa ul. Widok od ul. Siennej do ul. Skłodowskiej w ciągu drogi wojewódzkiej nr 705 w Skierniewicach</t>
  </si>
  <si>
    <t>Dział / Rozdział</t>
  </si>
  <si>
    <t>Transport i łączność</t>
  </si>
  <si>
    <t xml:space="preserve">Drogi publiczne gminne </t>
  </si>
  <si>
    <t>Drogi publiczne w miastach na prawach powiatu.</t>
  </si>
  <si>
    <t>Przedszkola</t>
  </si>
  <si>
    <t>Domy pomocy społecznej</t>
  </si>
  <si>
    <t>Ochrona zabytków i opieka nad zabytkami</t>
  </si>
  <si>
    <t>Obiekty sportowe</t>
  </si>
  <si>
    <t>okres realizacji        ( w wierszu program/umowa)</t>
  </si>
  <si>
    <t>Ożywnienie społeczno-gospodarcze w północno - wschodniej części województwa łódzkiego poprzez rewitalizację terenów powojskowych w Skierniewicach.</t>
  </si>
  <si>
    <t>Gospodarka Mieszkaniowa</t>
  </si>
  <si>
    <t>Gospodarka gruntami i nieruchomościami</t>
  </si>
  <si>
    <t>Budowa obwodnicy wschodniej miasta Skierniewice od ul. M. Skłodowskiej - Curie do ul. J. III Sobieskiego</t>
  </si>
  <si>
    <t>Budowa drogi pomiędzy ul. Działkową i Nowobielańską</t>
  </si>
  <si>
    <t>Miasto Skierniewice</t>
  </si>
  <si>
    <t>Remont budynku przy ul. Lelewela Nr 2 (była Szkoła Muzyczna)</t>
  </si>
  <si>
    <t>Programy, projekty lub zadania (razem)</t>
  </si>
  <si>
    <t>wydatki bieżące</t>
  </si>
  <si>
    <t>wydatki majątkowe</t>
  </si>
  <si>
    <t>A. Programy, projekty lub zadania związane z programami realizowanymi z udziałem środków, o których mowa w art. 5 ust. 1 pkt 2 i 3, (razem)</t>
  </si>
  <si>
    <t>B. Programy, projekty lub zadania pozostałe (inne niż wymienione w lit.a) (razem)</t>
  </si>
  <si>
    <t>C) Gwarancje i poręczenia udzielane przez jednostki samorządu terytorialnego (razem)</t>
  </si>
  <si>
    <t>Transport i Łączność</t>
  </si>
  <si>
    <t>Drogi publiczne gminne</t>
  </si>
  <si>
    <t>Drogi publiczne w miastach na prawach powiatu</t>
  </si>
  <si>
    <t>Pomoc społeczna</t>
  </si>
  <si>
    <t>Administracja publiczna</t>
  </si>
  <si>
    <t>Urzędy gmin (miast i miast na prawach powiatu)</t>
  </si>
  <si>
    <t>Placówki opiekuńczo-wychowawcze</t>
  </si>
  <si>
    <t>Rodziny zastępcze</t>
  </si>
  <si>
    <t>Gospodarka Komunalna i Ochrona Środowiska</t>
  </si>
  <si>
    <t>Oczyszczanie miast i wsi</t>
  </si>
  <si>
    <t>Utrzymanie zieleni w miastach i gminach</t>
  </si>
  <si>
    <t>Schroniska dla zwierząt</t>
  </si>
  <si>
    <t>Oświetlenie ulic, placów i dróg</t>
  </si>
  <si>
    <t>Kultura fizyczna</t>
  </si>
  <si>
    <t>Rozbudowa stadionu przy ulicy Nowobielańskiej (opracowanie dokumentacji i realizacja prac: budowa budynku administracyjno - socjalnego)</t>
  </si>
  <si>
    <t>Załącznik nr 2</t>
  </si>
  <si>
    <t>Budowa Domu Pomocy Społecznej</t>
  </si>
  <si>
    <t xml:space="preserve">środki z budżetu krajowego (plan) </t>
  </si>
  <si>
    <t>środki z UE (plan)</t>
  </si>
  <si>
    <t xml:space="preserve">Wydatki poniesione w latach poprzednich </t>
  </si>
  <si>
    <t>do 31.12.2010</t>
  </si>
  <si>
    <t xml:space="preserve">Umowa poręczenia Nr 1/2010 z 23 września 2010 r. kredytu długoterminowego na zakup autobusów dla MZK Sp. z o.o - etap II zakup sześciu sztuk autobusów </t>
  </si>
  <si>
    <t>Rewitalizacja zabytkowego parku miejskiego w Skierniewicach, dawnego ogrodu Prymasów Polski</t>
  </si>
  <si>
    <t>Umowa poręczenia Nr 1/2011 z 17 maja 2011 r. kredytu długoterminowego na zakup sześciu sztuk autobusów niskopodłogowych dla Miejskiego Zakładu Komunikacji sp. z o.o w Skierniewicach</t>
  </si>
  <si>
    <t>D) umowy, których realizacja w roku budżetowym i w latach następnych jest niezbędna dla zapewnienia ciągłości działania jednostki i których płatności przypadają w okresie dłuższym niż rok:</t>
  </si>
  <si>
    <t xml:space="preserve">Zagospodarowanie przestrzenne obszaru objętego ochroną konserwatorską  - Trakt Dworcowy </t>
  </si>
  <si>
    <t xml:space="preserve">Budowa Przedszkola Nr 8 przy ul. S. Rybickiego </t>
  </si>
  <si>
    <t xml:space="preserve"> wydatki bieżące</t>
  </si>
  <si>
    <t>Program "Uczę się przez całe życie" Projekt "Świadoma młodzież w działaniu"</t>
  </si>
  <si>
    <t>Zespół Szkół Nr 4</t>
  </si>
  <si>
    <t>Program "Uczę się przez całe życie" Projekt "Będę fachowcem w Europie"</t>
  </si>
  <si>
    <t>Zespół Szkół Zawodowych Nr 1</t>
  </si>
  <si>
    <t>Plan</t>
  </si>
  <si>
    <t>Wykaz przedsięwzięć w latach 2012-2016</t>
  </si>
  <si>
    <t>Remont ul. Sienkiewicza, ul. Rybickiego, ul. Pomologicznej</t>
  </si>
  <si>
    <t>Przebudowa ul. Wita Stwosza</t>
  </si>
  <si>
    <t>Podbudowa oraz nakładka bitumiczna w ul. Czwartaków</t>
  </si>
  <si>
    <t>Remont nawierzchni jezdni ul. Strobowskiej</t>
  </si>
  <si>
    <t>Przebudowa ul. Kaktusowej</t>
  </si>
  <si>
    <t>Przebudowa ul. Boharerów Westerplatte</t>
  </si>
  <si>
    <t>Przebudowa istniejącej sieci drogowej - Most na rzece Łupii w ul. 1-go Maja</t>
  </si>
  <si>
    <t xml:space="preserve">Budowa chodnika w ul. Widok na odc. od ul. Wiadukt do ul. Łowickiej </t>
  </si>
  <si>
    <t>Przebudowa ul. B. Prusa przy budynkach nr 2, 4 i 6 oraz odcinka ul. Iwaszkewicza</t>
  </si>
  <si>
    <t>Pozostała działalność</t>
  </si>
  <si>
    <t>Program "Uczę się przez całe życie" Projekt "Dodatkowe kwalifikacje zawodowe szansą zdobycia bardziej atrakcyjnej pracy w przyszłości"</t>
  </si>
  <si>
    <t>Program Operacyjny Kapitał Ludzki Projekt "Będę profesinalistą"</t>
  </si>
  <si>
    <t>Zespół Szkół Zawodowych Nr 3</t>
  </si>
  <si>
    <t>Program Operacyjny Kapitał Ludzki Projekt "Wyształceni Technicy"</t>
  </si>
  <si>
    <t>Program Operacyjny Kapitał Ludzki Projekt "Szkoła XXI w. - partnerem na rynku pracy"</t>
  </si>
  <si>
    <t>Zespół Szkół Zawodowych Nr. 1</t>
  </si>
  <si>
    <t xml:space="preserve"> wydatki majątkowe</t>
  </si>
  <si>
    <t>Podbudowa oraz nakładki bitumiczne w ul. Artyleryjska, ul. Szwoleżerów</t>
  </si>
  <si>
    <t>Budowa chodnika w ul. Harcerskiej i ul. Strzeleckiej</t>
  </si>
  <si>
    <t>Przebudowa ul. Moniuszki</t>
  </si>
  <si>
    <t>Budowa drogi od ulicy Łowickiej do ulicy W. Waryńskiego</t>
  </si>
  <si>
    <t xml:space="preserve">Zagospodarowanie przestrzenne obszaru objętego ochroną konserwatorską -Trakt Dworcowy - etap I plac przed dworcem  </t>
  </si>
  <si>
    <t>Budowa ul.Armii Krajowej (od ul. M. Skłodowskiej-Curie do ul. Nowobielańskiej)</t>
  </si>
  <si>
    <t>Rewaloryzacja zbiornika wodnego - Zalew</t>
  </si>
  <si>
    <t>Licea ogólnokształcące</t>
  </si>
  <si>
    <t>Pozostała dizałalność</t>
  </si>
  <si>
    <t>Rozbudowa ul. Waryńskiego odc. od ul. Sierakowickiej do granicy miasta</t>
  </si>
  <si>
    <t>Pozostałe działania z zakresu polityki społecznej</t>
  </si>
  <si>
    <t>Powiatowe Urzędy Pracy</t>
  </si>
  <si>
    <t>Program Operacyjny Kapitał Ludzki, Projekt "Profesionalny Pracownik - Przyjazny Urząd IV"</t>
  </si>
  <si>
    <t>P.U.P</t>
  </si>
  <si>
    <t>Remont nawierzchni jezdni ul. Łowickiej i Wyszyńskiego w ciągu drogi krajowej nr 70 wraz z kanalizacją deszczową</t>
  </si>
  <si>
    <t>Dowożenie uczniów do szkół</t>
  </si>
  <si>
    <t>Budowa infrastruktury w  obrębie projektowanego obszaru ochrony uzdrowiskowej</t>
  </si>
  <si>
    <t>Remont budynku przy ul. Kozietulskiego 3 w Skierniewicach</t>
  </si>
  <si>
    <t xml:space="preserve">Gospodarka ściekowa i ochrona wód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</si>
</sst>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  <numFmt numFmtId="172" formatCode="#,##0.000"/>
    <numFmt numFmtId="173" formatCode="#,##0.0000"/>
    <numFmt numFmtId="174" formatCode="#,##0.0"/>
  </numFmts>
  <fonts count="48">
    <font>
      <sz val="10"/>
      <name val="Arial"/>
      <family val="0"/>
    </font>
    <font>
      <b/>
      <sz val="10"/>
      <name val="Arial"/>
      <family val="0"/>
    </font>
    <font>
      <sz val="10"/>
      <color indexed="8"/>
      <name val="Sans"/>
      <family val="0"/>
    </font>
    <font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/>
      <protection/>
    </xf>
    <xf numFmtId="4" fontId="7" fillId="0" borderId="10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/>
      <protection/>
    </xf>
    <xf numFmtId="0" fontId="7" fillId="33" borderId="10" xfId="0" applyNumberFormat="1" applyFont="1" applyFill="1" applyBorder="1" applyAlignment="1" applyProtection="1">
      <alignment/>
      <protection/>
    </xf>
    <xf numFmtId="0" fontId="7" fillId="33" borderId="10" xfId="0" applyNumberFormat="1" applyFont="1" applyFill="1" applyBorder="1" applyAlignment="1" applyProtection="1">
      <alignment wrapText="1"/>
      <protection/>
    </xf>
    <xf numFmtId="4" fontId="6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wrapText="1" shrinkToFi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34" borderId="10" xfId="0" applyNumberFormat="1" applyFont="1" applyFill="1" applyBorder="1" applyAlignment="1" applyProtection="1">
      <alignment/>
      <protection/>
    </xf>
    <xf numFmtId="4" fontId="7" fillId="34" borderId="10" xfId="0" applyNumberFormat="1" applyFont="1" applyFill="1" applyBorder="1" applyAlignment="1" applyProtection="1">
      <alignment/>
      <protection/>
    </xf>
    <xf numFmtId="0" fontId="7" fillId="34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wrapText="1" shrinkToFit="1"/>
    </xf>
    <xf numFmtId="4" fontId="6" fillId="34" borderId="10" xfId="0" applyNumberFormat="1" applyFont="1" applyFill="1" applyBorder="1" applyAlignment="1" applyProtection="1">
      <alignment/>
      <protection/>
    </xf>
    <xf numFmtId="0" fontId="6" fillId="35" borderId="10" xfId="0" applyNumberFormat="1" applyFont="1" applyFill="1" applyBorder="1" applyAlignment="1" applyProtection="1">
      <alignment/>
      <protection/>
    </xf>
    <xf numFmtId="4" fontId="6" fillId="35" borderId="10" xfId="0" applyNumberFormat="1" applyFont="1" applyFill="1" applyBorder="1" applyAlignment="1" applyProtection="1">
      <alignment/>
      <protection/>
    </xf>
    <xf numFmtId="0" fontId="1" fillId="35" borderId="0" xfId="0" applyNumberFormat="1" applyFont="1" applyFill="1" applyBorder="1" applyAlignment="1" applyProtection="1">
      <alignment/>
      <protection/>
    </xf>
    <xf numFmtId="0" fontId="6" fillId="36" borderId="10" xfId="0" applyNumberFormat="1" applyFont="1" applyFill="1" applyBorder="1" applyAlignment="1" applyProtection="1">
      <alignment/>
      <protection/>
    </xf>
    <xf numFmtId="4" fontId="6" fillId="36" borderId="10" xfId="0" applyNumberFormat="1" applyFont="1" applyFill="1" applyBorder="1" applyAlignment="1" applyProtection="1">
      <alignment/>
      <protection/>
    </xf>
    <xf numFmtId="0" fontId="7" fillId="36" borderId="10" xfId="0" applyNumberFormat="1" applyFont="1" applyFill="1" applyBorder="1" applyAlignment="1" applyProtection="1">
      <alignment/>
      <protection/>
    </xf>
    <xf numFmtId="4" fontId="7" fillId="36" borderId="10" xfId="0" applyNumberFormat="1" applyFont="1" applyFill="1" applyBorder="1" applyAlignment="1" applyProtection="1">
      <alignment/>
      <protection/>
    </xf>
    <xf numFmtId="0" fontId="1" fillId="36" borderId="0" xfId="0" applyNumberFormat="1" applyFont="1" applyFill="1" applyBorder="1" applyAlignment="1" applyProtection="1">
      <alignment/>
      <protection/>
    </xf>
    <xf numFmtId="0" fontId="0" fillId="36" borderId="0" xfId="0" applyNumberFormat="1" applyFont="1" applyFill="1" applyBorder="1" applyAlignment="1" applyProtection="1">
      <alignment/>
      <protection/>
    </xf>
    <xf numFmtId="0" fontId="1" fillId="34" borderId="0" xfId="0" applyNumberFormat="1" applyFont="1" applyFill="1" applyBorder="1" applyAlignment="1" applyProtection="1">
      <alignment/>
      <protection/>
    </xf>
    <xf numFmtId="0" fontId="0" fillId="34" borderId="0" xfId="0" applyNumberFormat="1" applyFont="1" applyFill="1" applyBorder="1" applyAlignment="1" applyProtection="1">
      <alignment/>
      <protection/>
    </xf>
    <xf numFmtId="0" fontId="5" fillId="35" borderId="0" xfId="0" applyNumberFormat="1" applyFont="1" applyFill="1" applyBorder="1" applyAlignment="1" applyProtection="1">
      <alignment/>
      <protection/>
    </xf>
    <xf numFmtId="0" fontId="6" fillId="35" borderId="10" xfId="0" applyNumberFormat="1" applyFont="1" applyFill="1" applyBorder="1" applyAlignment="1" applyProtection="1">
      <alignment wrapText="1"/>
      <protection/>
    </xf>
    <xf numFmtId="0" fontId="0" fillId="34" borderId="0" xfId="0" applyNumberFormat="1" applyFont="1" applyFill="1" applyBorder="1" applyAlignment="1" applyProtection="1">
      <alignment/>
      <protection/>
    </xf>
    <xf numFmtId="4" fontId="6" fillId="37" borderId="10" xfId="0" applyNumberFormat="1" applyFont="1" applyFill="1" applyBorder="1" applyAlignment="1" applyProtection="1">
      <alignment/>
      <protection/>
    </xf>
    <xf numFmtId="4" fontId="7" fillId="37" borderId="10" xfId="0" applyNumberFormat="1" applyFont="1" applyFill="1" applyBorder="1" applyAlignment="1" applyProtection="1">
      <alignment/>
      <protection/>
    </xf>
    <xf numFmtId="4" fontId="6" fillId="38" borderId="10" xfId="0" applyNumberFormat="1" applyFont="1" applyFill="1" applyBorder="1" applyAlignment="1" applyProtection="1">
      <alignment/>
      <protection/>
    </xf>
    <xf numFmtId="4" fontId="7" fillId="38" borderId="10" xfId="0" applyNumberFormat="1" applyFont="1" applyFill="1" applyBorder="1" applyAlignment="1" applyProtection="1">
      <alignment/>
      <protection/>
    </xf>
    <xf numFmtId="4" fontId="6" fillId="39" borderId="10" xfId="0" applyNumberFormat="1" applyFont="1" applyFill="1" applyBorder="1" applyAlignment="1" applyProtection="1">
      <alignment/>
      <protection/>
    </xf>
    <xf numFmtId="0" fontId="7" fillId="34" borderId="12" xfId="0" applyNumberFormat="1" applyFont="1" applyFill="1" applyBorder="1" applyAlignment="1" applyProtection="1">
      <alignment wrapText="1"/>
      <protection/>
    </xf>
    <xf numFmtId="4" fontId="6" fillId="34" borderId="12" xfId="0" applyNumberFormat="1" applyFont="1" applyFill="1" applyBorder="1" applyAlignment="1" applyProtection="1">
      <alignment/>
      <protection/>
    </xf>
    <xf numFmtId="4" fontId="7" fillId="34" borderId="12" xfId="0" applyNumberFormat="1" applyFont="1" applyFill="1" applyBorder="1" applyAlignment="1" applyProtection="1">
      <alignment/>
      <protection/>
    </xf>
    <xf numFmtId="4" fontId="7" fillId="37" borderId="12" xfId="0" applyNumberFormat="1" applyFont="1" applyFill="1" applyBorder="1" applyAlignment="1" applyProtection="1">
      <alignment/>
      <protection/>
    </xf>
    <xf numFmtId="0" fontId="46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49" fontId="7" fillId="33" borderId="10" xfId="0" applyNumberFormat="1" applyFont="1" applyFill="1" applyBorder="1" applyAlignment="1" applyProtection="1">
      <alignment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7" fillId="38" borderId="12" xfId="0" applyNumberFormat="1" applyFont="1" applyFill="1" applyBorder="1" applyAlignment="1" applyProtection="1">
      <alignment wrapText="1"/>
      <protection/>
    </xf>
    <xf numFmtId="0" fontId="7" fillId="38" borderId="12" xfId="0" applyNumberFormat="1" applyFont="1" applyFill="1" applyBorder="1" applyAlignment="1" applyProtection="1">
      <alignment/>
      <protection/>
    </xf>
    <xf numFmtId="4" fontId="7" fillId="38" borderId="12" xfId="0" applyNumberFormat="1" applyFont="1" applyFill="1" applyBorder="1" applyAlignment="1" applyProtection="1">
      <alignment/>
      <protection/>
    </xf>
    <xf numFmtId="0" fontId="7" fillId="38" borderId="10" xfId="0" applyNumberFormat="1" applyFont="1" applyFill="1" applyBorder="1" applyAlignment="1" applyProtection="1">
      <alignment wrapText="1"/>
      <protection/>
    </xf>
    <xf numFmtId="0" fontId="7" fillId="38" borderId="10" xfId="0" applyNumberFormat="1" applyFont="1" applyFill="1" applyBorder="1" applyAlignment="1" applyProtection="1">
      <alignment/>
      <protection/>
    </xf>
    <xf numFmtId="0" fontId="0" fillId="38" borderId="0" xfId="0" applyNumberFormat="1" applyFont="1" applyFill="1" applyBorder="1" applyAlignment="1" applyProtection="1">
      <alignment/>
      <protection/>
    </xf>
    <xf numFmtId="0" fontId="7" fillId="38" borderId="10" xfId="0" applyNumberFormat="1" applyFont="1" applyFill="1" applyBorder="1" applyAlignment="1" applyProtection="1">
      <alignment vertical="center" wrapText="1"/>
      <protection/>
    </xf>
    <xf numFmtId="4" fontId="6" fillId="38" borderId="12" xfId="0" applyNumberFormat="1" applyFont="1" applyFill="1" applyBorder="1" applyAlignment="1" applyProtection="1">
      <alignment/>
      <protection/>
    </xf>
    <xf numFmtId="0" fontId="6" fillId="38" borderId="12" xfId="0" applyNumberFormat="1" applyFont="1" applyFill="1" applyBorder="1" applyAlignment="1" applyProtection="1">
      <alignment/>
      <protection/>
    </xf>
    <xf numFmtId="0" fontId="5" fillId="38" borderId="0" xfId="0" applyNumberFormat="1" applyFont="1" applyFill="1" applyBorder="1" applyAlignment="1" applyProtection="1">
      <alignment/>
      <protection/>
    </xf>
    <xf numFmtId="0" fontId="7" fillId="38" borderId="13" xfId="0" applyNumberFormat="1" applyFont="1" applyFill="1" applyBorder="1" applyAlignment="1" applyProtection="1">
      <alignment/>
      <protection/>
    </xf>
    <xf numFmtId="0" fontId="6" fillId="35" borderId="10" xfId="0" applyNumberFormat="1" applyFont="1" applyFill="1" applyBorder="1" applyAlignment="1" applyProtection="1">
      <alignment horizontal="center"/>
      <protection/>
    </xf>
    <xf numFmtId="0" fontId="6" fillId="36" borderId="10" xfId="0" applyNumberFormat="1" applyFont="1" applyFill="1" applyBorder="1" applyAlignment="1" applyProtection="1">
      <alignment horizontal="center"/>
      <protection/>
    </xf>
    <xf numFmtId="0" fontId="7" fillId="36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6" fillId="34" borderId="10" xfId="0" applyNumberFormat="1" applyFont="1" applyFill="1" applyBorder="1" applyAlignment="1" applyProtection="1">
      <alignment horizontal="center"/>
      <protection/>
    </xf>
    <xf numFmtId="0" fontId="7" fillId="34" borderId="10" xfId="0" applyNumberFormat="1" applyFont="1" applyFill="1" applyBorder="1" applyAlignment="1" applyProtection="1">
      <alignment horizontal="center"/>
      <protection/>
    </xf>
    <xf numFmtId="0" fontId="7" fillId="38" borderId="10" xfId="0" applyNumberFormat="1" applyFont="1" applyFill="1" applyBorder="1" applyAlignment="1" applyProtection="1">
      <alignment horizontal="center"/>
      <protection/>
    </xf>
    <xf numFmtId="0" fontId="7" fillId="38" borderId="10" xfId="0" applyNumberFormat="1" applyFont="1" applyFill="1" applyBorder="1" applyAlignment="1" applyProtection="1">
      <alignment horizontal="center" wrapText="1"/>
      <protection/>
    </xf>
    <xf numFmtId="0" fontId="7" fillId="38" borderId="12" xfId="0" applyNumberFormat="1" applyFont="1" applyFill="1" applyBorder="1" applyAlignment="1" applyProtection="1">
      <alignment horizontal="center"/>
      <protection/>
    </xf>
    <xf numFmtId="0" fontId="6" fillId="38" borderId="12" xfId="0" applyNumberFormat="1" applyFont="1" applyFill="1" applyBorder="1" applyAlignment="1" applyProtection="1">
      <alignment horizontal="center"/>
      <protection/>
    </xf>
    <xf numFmtId="0" fontId="6" fillId="33" borderId="10" xfId="0" applyNumberFormat="1" applyFont="1" applyFill="1" applyBorder="1" applyAlignment="1" applyProtection="1">
      <alignment horizontal="center"/>
      <protection/>
    </xf>
    <xf numFmtId="0" fontId="6" fillId="34" borderId="12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 wrapText="1"/>
      <protection/>
    </xf>
    <xf numFmtId="0" fontId="47" fillId="0" borderId="1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wrapText="1"/>
      <protection/>
    </xf>
    <xf numFmtId="0" fontId="7" fillId="0" borderId="10" xfId="0" applyFont="1" applyFill="1" applyBorder="1" applyAlignment="1">
      <alignment wrapText="1" shrinkToFit="1"/>
    </xf>
    <xf numFmtId="0" fontId="1" fillId="35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4" fontId="7" fillId="0" borderId="12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right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6" fillId="0" borderId="13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4" fontId="6" fillId="0" borderId="14" xfId="0" applyNumberFormat="1" applyFont="1" applyFill="1" applyBorder="1" applyAlignment="1" applyProtection="1">
      <alignment/>
      <protection/>
    </xf>
    <xf numFmtId="4" fontId="7" fillId="0" borderId="14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5" borderId="11" xfId="0" applyNumberFormat="1" applyFont="1" applyFill="1" applyBorder="1" applyAlignment="1" applyProtection="1">
      <alignment horizontal="center"/>
      <protection/>
    </xf>
    <xf numFmtId="0" fontId="6" fillId="35" borderId="13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34" borderId="11" xfId="0" applyNumberFormat="1" applyFont="1" applyFill="1" applyBorder="1" applyAlignment="1" applyProtection="1">
      <alignment horizontal="left"/>
      <protection/>
    </xf>
    <xf numFmtId="0" fontId="7" fillId="34" borderId="15" xfId="0" applyNumberFormat="1" applyFont="1" applyFill="1" applyBorder="1" applyAlignment="1" applyProtection="1">
      <alignment horizontal="left"/>
      <protection/>
    </xf>
    <xf numFmtId="0" fontId="7" fillId="34" borderId="13" xfId="0" applyNumberFormat="1" applyFont="1" applyFill="1" applyBorder="1" applyAlignment="1" applyProtection="1">
      <alignment horizontal="left"/>
      <protection/>
    </xf>
    <xf numFmtId="0" fontId="6" fillId="34" borderId="11" xfId="0" applyNumberFormat="1" applyFont="1" applyFill="1" applyBorder="1" applyAlignment="1" applyProtection="1">
      <alignment horizontal="left" wrapText="1"/>
      <protection/>
    </xf>
    <xf numFmtId="0" fontId="6" fillId="34" borderId="15" xfId="0" applyNumberFormat="1" applyFont="1" applyFill="1" applyBorder="1" applyAlignment="1" applyProtection="1">
      <alignment horizontal="left" wrapText="1"/>
      <protection/>
    </xf>
    <xf numFmtId="0" fontId="6" fillId="34" borderId="13" xfId="0" applyNumberFormat="1" applyFont="1" applyFill="1" applyBorder="1" applyAlignment="1" applyProtection="1">
      <alignment horizontal="left" wrapText="1"/>
      <protection/>
    </xf>
    <xf numFmtId="0" fontId="6" fillId="35" borderId="10" xfId="0" applyNumberFormat="1" applyFont="1" applyFill="1" applyBorder="1" applyAlignment="1" applyProtection="1">
      <alignment horizontal="center"/>
      <protection/>
    </xf>
    <xf numFmtId="0" fontId="8" fillId="36" borderId="11" xfId="0" applyNumberFormat="1" applyFont="1" applyFill="1" applyBorder="1" applyAlignment="1" applyProtection="1">
      <alignment horizontal="left"/>
      <protection/>
    </xf>
    <xf numFmtId="0" fontId="8" fillId="36" borderId="15" xfId="0" applyNumberFormat="1" applyFont="1" applyFill="1" applyBorder="1" applyAlignment="1" applyProtection="1">
      <alignment horizontal="left"/>
      <protection/>
    </xf>
    <xf numFmtId="0" fontId="8" fillId="36" borderId="13" xfId="0" applyNumberFormat="1" applyFont="1" applyFill="1" applyBorder="1" applyAlignment="1" applyProtection="1">
      <alignment horizontal="left"/>
      <protection/>
    </xf>
    <xf numFmtId="0" fontId="7" fillId="0" borderId="11" xfId="0" applyNumberFormat="1" applyFont="1" applyFill="1" applyBorder="1" applyAlignment="1" applyProtection="1">
      <alignment horizontal="left"/>
      <protection/>
    </xf>
    <xf numFmtId="0" fontId="7" fillId="0" borderId="15" xfId="0" applyNumberFormat="1" applyFont="1" applyFill="1" applyBorder="1" applyAlignment="1" applyProtection="1">
      <alignment horizontal="left"/>
      <protection/>
    </xf>
    <xf numFmtId="0" fontId="7" fillId="0" borderId="13" xfId="0" applyNumberFormat="1" applyFont="1" applyFill="1" applyBorder="1" applyAlignment="1" applyProtection="1">
      <alignment horizontal="left"/>
      <protection/>
    </xf>
    <xf numFmtId="0" fontId="8" fillId="0" borderId="11" xfId="0" applyNumberFormat="1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35" borderId="11" xfId="0" applyNumberFormat="1" applyFont="1" applyFill="1" applyBorder="1" applyAlignment="1" applyProtection="1">
      <alignment horizontal="center" wrapText="1" shrinkToFit="1"/>
      <protection/>
    </xf>
    <xf numFmtId="0" fontId="1" fillId="35" borderId="13" xfId="0" applyFont="1" applyFill="1" applyBorder="1" applyAlignment="1">
      <alignment horizontal="center" wrapText="1" shrinkToFit="1"/>
    </xf>
    <xf numFmtId="0" fontId="6" fillId="34" borderId="16" xfId="0" applyNumberFormat="1" applyFont="1" applyFill="1" applyBorder="1" applyAlignment="1" applyProtection="1">
      <alignment wrapText="1" shrinkToFit="1"/>
      <protection/>
    </xf>
    <xf numFmtId="0" fontId="1" fillId="34" borderId="17" xfId="0" applyFont="1" applyFill="1" applyBorder="1" applyAlignment="1">
      <alignment wrapText="1" shrinkToFit="1"/>
    </xf>
    <xf numFmtId="0" fontId="1" fillId="34" borderId="18" xfId="0" applyFont="1" applyFill="1" applyBorder="1" applyAlignment="1">
      <alignment wrapText="1" shrinkToFit="1"/>
    </xf>
    <xf numFmtId="0" fontId="10" fillId="0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4"/>
  <sheetViews>
    <sheetView tabSelected="1" view="pageBreakPreview" zoomScaleNormal="75" zoomScaleSheetLayoutView="100" zoomScalePageLayoutView="0" workbookViewId="0" topLeftCell="C1">
      <pane ySplit="8" topLeftCell="A9" activePane="bottomLeft" state="frozen"/>
      <selection pane="topLeft" activeCell="A1" sqref="A1"/>
      <selection pane="bottomLeft" activeCell="C151" sqref="A151:IV151"/>
    </sheetView>
  </sheetViews>
  <sheetFormatPr defaultColWidth="11.57421875" defaultRowHeight="12.75"/>
  <cols>
    <col min="1" max="1" width="4.421875" style="2" customWidth="1"/>
    <col min="2" max="2" width="7.57421875" style="1" customWidth="1"/>
    <col min="3" max="3" width="41.57421875" style="1" customWidth="1"/>
    <col min="4" max="4" width="10.421875" style="1" customWidth="1"/>
    <col min="5" max="5" width="7.57421875" style="2" customWidth="1"/>
    <col min="6" max="6" width="6.7109375" style="2" customWidth="1"/>
    <col min="7" max="7" width="12.57421875" style="1" customWidth="1"/>
    <col min="8" max="8" width="17.140625" style="1" customWidth="1"/>
    <col min="9" max="9" width="11.8515625" style="1" customWidth="1"/>
    <col min="10" max="10" width="12.421875" style="1" customWidth="1"/>
    <col min="11" max="11" width="12.00390625" style="1" customWidth="1"/>
    <col min="12" max="12" width="11.57421875" style="1" customWidth="1"/>
    <col min="13" max="14" width="11.00390625" style="1" customWidth="1"/>
    <col min="15" max="15" width="12.7109375" style="1" customWidth="1"/>
    <col min="16" max="16384" width="11.57421875" style="1" customWidth="1"/>
  </cols>
  <sheetData>
    <row r="1" spans="1:3" ht="12.75">
      <c r="A1" s="132"/>
      <c r="B1" s="132"/>
      <c r="C1" s="132"/>
    </row>
    <row r="2" spans="1:14" ht="12.75">
      <c r="A2" s="103" t="s">
        <v>58</v>
      </c>
      <c r="B2" s="103"/>
      <c r="M2" s="103" t="s">
        <v>58</v>
      </c>
      <c r="N2" s="103"/>
    </row>
    <row r="3" spans="1:15" ht="30" customHeight="1">
      <c r="A3" s="122" t="s">
        <v>76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1:15" ht="47.25" customHeight="1">
      <c r="A4" s="98" t="s">
        <v>5</v>
      </c>
      <c r="B4" s="99" t="s">
        <v>21</v>
      </c>
      <c r="C4" s="97" t="s">
        <v>7</v>
      </c>
      <c r="D4" s="97" t="s">
        <v>9</v>
      </c>
      <c r="E4" s="97" t="s">
        <v>29</v>
      </c>
      <c r="F4" s="97"/>
      <c r="G4" s="97" t="s">
        <v>10</v>
      </c>
      <c r="H4" s="10" t="s">
        <v>62</v>
      </c>
      <c r="I4" s="50" t="s">
        <v>75</v>
      </c>
      <c r="J4" s="124" t="s">
        <v>0</v>
      </c>
      <c r="K4" s="125"/>
      <c r="L4" s="125"/>
      <c r="M4" s="125"/>
      <c r="N4" s="126"/>
      <c r="O4" s="5" t="s">
        <v>3</v>
      </c>
    </row>
    <row r="5" spans="1:15" ht="16.5" customHeight="1">
      <c r="A5" s="98"/>
      <c r="B5" s="100"/>
      <c r="C5" s="98"/>
      <c r="D5" s="98"/>
      <c r="E5" s="4" t="s">
        <v>6</v>
      </c>
      <c r="F5" s="4" t="s">
        <v>8</v>
      </c>
      <c r="G5" s="97"/>
      <c r="H5" s="5" t="s">
        <v>63</v>
      </c>
      <c r="I5" s="4">
        <v>2011</v>
      </c>
      <c r="J5" s="4">
        <v>2012</v>
      </c>
      <c r="K5" s="4">
        <v>2013</v>
      </c>
      <c r="L5" s="4">
        <v>2014</v>
      </c>
      <c r="M5" s="4">
        <v>2015</v>
      </c>
      <c r="N5" s="4">
        <v>2016</v>
      </c>
      <c r="O5" s="6"/>
    </row>
    <row r="6" spans="1:15" s="31" customFormat="1" ht="18" customHeight="1">
      <c r="A6" s="111" t="s">
        <v>4</v>
      </c>
      <c r="B6" s="112"/>
      <c r="C6" s="113"/>
      <c r="D6" s="27"/>
      <c r="E6" s="63"/>
      <c r="F6" s="63"/>
      <c r="G6" s="28">
        <f aca="true" t="shared" si="0" ref="G6:G11">H6+I6+J6+K6+L6+M6+N6</f>
        <v>346305625.65000004</v>
      </c>
      <c r="H6" s="28">
        <f aca="true" t="shared" si="1" ref="H6:O6">H7+H8</f>
        <v>23008832.049999997</v>
      </c>
      <c r="I6" s="28">
        <f t="shared" si="1"/>
        <v>17438059.21</v>
      </c>
      <c r="J6" s="28">
        <f t="shared" si="1"/>
        <v>43577273.730000004</v>
      </c>
      <c r="K6" s="28">
        <f t="shared" si="1"/>
        <v>88984750.3</v>
      </c>
      <c r="L6" s="28">
        <f t="shared" si="1"/>
        <v>71839275.84</v>
      </c>
      <c r="M6" s="28">
        <f t="shared" si="1"/>
        <v>81357434.52</v>
      </c>
      <c r="N6" s="28">
        <f t="shared" si="1"/>
        <v>20100000</v>
      </c>
      <c r="O6" s="28">
        <f t="shared" si="1"/>
        <v>305858734.39</v>
      </c>
    </row>
    <row r="7" spans="1:15" s="32" customFormat="1" ht="17.25" customHeight="1">
      <c r="A7" s="29"/>
      <c r="B7" s="29"/>
      <c r="C7" s="29" t="s">
        <v>2</v>
      </c>
      <c r="D7" s="29"/>
      <c r="E7" s="64"/>
      <c r="F7" s="64"/>
      <c r="G7" s="28">
        <f t="shared" si="0"/>
        <v>33961462.24</v>
      </c>
      <c r="H7" s="30">
        <f aca="true" t="shared" si="2" ref="H7:O7">H10+H76+H131+H135</f>
        <v>7564568</v>
      </c>
      <c r="I7" s="30">
        <f t="shared" si="2"/>
        <v>4395950.260000001</v>
      </c>
      <c r="J7" s="30">
        <f t="shared" si="2"/>
        <v>9718532.25</v>
      </c>
      <c r="K7" s="30">
        <f t="shared" si="2"/>
        <v>9517411.73</v>
      </c>
      <c r="L7" s="30">
        <f t="shared" si="2"/>
        <v>1600000</v>
      </c>
      <c r="M7" s="30">
        <f t="shared" si="2"/>
        <v>1065000</v>
      </c>
      <c r="N7" s="30">
        <f t="shared" si="2"/>
        <v>100000</v>
      </c>
      <c r="O7" s="30">
        <f t="shared" si="2"/>
        <v>22000943.979999997</v>
      </c>
    </row>
    <row r="8" spans="1:15" s="32" customFormat="1" ht="17.25" customHeight="1">
      <c r="A8" s="29"/>
      <c r="B8" s="29"/>
      <c r="C8" s="29" t="s">
        <v>1</v>
      </c>
      <c r="D8" s="29"/>
      <c r="E8" s="64"/>
      <c r="F8" s="64"/>
      <c r="G8" s="28">
        <f t="shared" si="0"/>
        <v>312344163.41</v>
      </c>
      <c r="H8" s="30">
        <f aca="true" t="shared" si="3" ref="H8:O8">H11</f>
        <v>15444264.049999999</v>
      </c>
      <c r="I8" s="30">
        <f t="shared" si="3"/>
        <v>13042108.95</v>
      </c>
      <c r="J8" s="30">
        <f t="shared" si="3"/>
        <v>33858741.480000004</v>
      </c>
      <c r="K8" s="30">
        <f t="shared" si="3"/>
        <v>79467338.57</v>
      </c>
      <c r="L8" s="30">
        <f t="shared" si="3"/>
        <v>70239275.84</v>
      </c>
      <c r="M8" s="30">
        <f t="shared" si="3"/>
        <v>80292434.52</v>
      </c>
      <c r="N8" s="30">
        <f>N11</f>
        <v>20000000</v>
      </c>
      <c r="O8" s="30">
        <f t="shared" si="3"/>
        <v>283857790.40999997</v>
      </c>
    </row>
    <row r="9" spans="1:15" ht="16.5" customHeight="1">
      <c r="A9" s="117" t="s">
        <v>37</v>
      </c>
      <c r="B9" s="118"/>
      <c r="C9" s="119"/>
      <c r="D9" s="7"/>
      <c r="E9" s="65"/>
      <c r="F9" s="65"/>
      <c r="G9" s="14">
        <f t="shared" si="0"/>
        <v>315066623.34</v>
      </c>
      <c r="H9" s="14">
        <f>H11+H10</f>
        <v>15444264.049999999</v>
      </c>
      <c r="I9" s="14">
        <f aca="true" t="shared" si="4" ref="I9:N9">I10+I11</f>
        <v>13375016.35</v>
      </c>
      <c r="J9" s="14">
        <f t="shared" si="4"/>
        <v>35625296.13</v>
      </c>
      <c r="K9" s="14">
        <f t="shared" si="4"/>
        <v>80090336.44999999</v>
      </c>
      <c r="L9" s="14">
        <f t="shared" si="4"/>
        <v>70239275.84</v>
      </c>
      <c r="M9" s="40">
        <f t="shared" si="4"/>
        <v>80292434.52</v>
      </c>
      <c r="N9" s="40">
        <f t="shared" si="4"/>
        <v>20000000</v>
      </c>
      <c r="O9" s="40">
        <f>J9+K9+L9+M9+N9</f>
        <v>286247342.94</v>
      </c>
    </row>
    <row r="10" spans="1:15" s="18" customFormat="1" ht="17.25" customHeight="1">
      <c r="A10" s="114" t="s">
        <v>38</v>
      </c>
      <c r="B10" s="120"/>
      <c r="C10" s="121"/>
      <c r="D10" s="8"/>
      <c r="E10" s="66"/>
      <c r="F10" s="66"/>
      <c r="G10" s="14">
        <f t="shared" si="0"/>
        <v>2722459.93</v>
      </c>
      <c r="H10" s="9">
        <f>H13</f>
        <v>0</v>
      </c>
      <c r="I10" s="9">
        <f>I31+I62</f>
        <v>332907.4</v>
      </c>
      <c r="J10" s="9">
        <f aca="true" t="shared" si="5" ref="J10:O10">J31+J62</f>
        <v>1766554.6500000001</v>
      </c>
      <c r="K10" s="9">
        <f t="shared" si="5"/>
        <v>622997.88</v>
      </c>
      <c r="L10" s="9">
        <f t="shared" si="5"/>
        <v>0</v>
      </c>
      <c r="M10" s="9">
        <f t="shared" si="5"/>
        <v>0</v>
      </c>
      <c r="N10" s="9">
        <f t="shared" si="5"/>
        <v>0</v>
      </c>
      <c r="O10" s="9">
        <f t="shared" si="5"/>
        <v>2389552.53</v>
      </c>
    </row>
    <row r="11" spans="1:15" s="18" customFormat="1" ht="19.5" customHeight="1">
      <c r="A11" s="114" t="s">
        <v>39</v>
      </c>
      <c r="B11" s="115"/>
      <c r="C11" s="116"/>
      <c r="D11" s="8"/>
      <c r="E11" s="66"/>
      <c r="F11" s="66"/>
      <c r="G11" s="14">
        <f t="shared" si="0"/>
        <v>312344163.41</v>
      </c>
      <c r="H11" s="9">
        <f aca="true" t="shared" si="6" ref="H11:M11">H14+H77</f>
        <v>15444264.049999999</v>
      </c>
      <c r="I11" s="9">
        <f t="shared" si="6"/>
        <v>13042108.95</v>
      </c>
      <c r="J11" s="9">
        <f t="shared" si="6"/>
        <v>33858741.480000004</v>
      </c>
      <c r="K11" s="9">
        <f t="shared" si="6"/>
        <v>79467338.57</v>
      </c>
      <c r="L11" s="9">
        <f t="shared" si="6"/>
        <v>70239275.84</v>
      </c>
      <c r="M11" s="9">
        <f t="shared" si="6"/>
        <v>80292434.52</v>
      </c>
      <c r="N11" s="9">
        <f>N14+N77</f>
        <v>20000000</v>
      </c>
      <c r="O11" s="40">
        <f>J11+K11+L11+M11+N11</f>
        <v>283857790.40999997</v>
      </c>
    </row>
    <row r="12" spans="1:15" s="34" customFormat="1" ht="44.25" customHeight="1">
      <c r="A12" s="107" t="s">
        <v>40</v>
      </c>
      <c r="B12" s="108"/>
      <c r="C12" s="109"/>
      <c r="D12" s="19"/>
      <c r="E12" s="67"/>
      <c r="F12" s="67"/>
      <c r="G12" s="23">
        <f>H12+I12+J12+K12+L12+M12</f>
        <v>48237388.36</v>
      </c>
      <c r="H12" s="23">
        <f>H13+H14</f>
        <v>13415077.26</v>
      </c>
      <c r="I12" s="23">
        <f aca="true" t="shared" si="7" ref="I12:O12">I13+I14</f>
        <v>10221301.709999999</v>
      </c>
      <c r="J12" s="23">
        <f t="shared" si="7"/>
        <v>14466679.81</v>
      </c>
      <c r="K12" s="23">
        <f t="shared" si="7"/>
        <v>10134329.580000002</v>
      </c>
      <c r="L12" s="23">
        <f t="shared" si="7"/>
        <v>0</v>
      </c>
      <c r="M12" s="23">
        <f t="shared" si="7"/>
        <v>0</v>
      </c>
      <c r="N12" s="23">
        <f t="shared" si="7"/>
        <v>0</v>
      </c>
      <c r="O12" s="23">
        <f t="shared" si="7"/>
        <v>24601009.390000004</v>
      </c>
    </row>
    <row r="13" spans="1:15" s="34" customFormat="1" ht="19.5" customHeight="1">
      <c r="A13" s="104" t="s">
        <v>38</v>
      </c>
      <c r="B13" s="105"/>
      <c r="C13" s="106"/>
      <c r="D13" s="21"/>
      <c r="E13" s="68"/>
      <c r="F13" s="68"/>
      <c r="G13" s="23">
        <f>H13+I13+J13+K13+L13+M13</f>
        <v>2722459.93</v>
      </c>
      <c r="H13" s="20">
        <f>H31</f>
        <v>0</v>
      </c>
      <c r="I13" s="20">
        <f>I31+I62</f>
        <v>332907.4</v>
      </c>
      <c r="J13" s="20">
        <f aca="true" t="shared" si="8" ref="J13:O13">J31+J62</f>
        <v>1766554.6500000001</v>
      </c>
      <c r="K13" s="20">
        <f t="shared" si="8"/>
        <v>622997.88</v>
      </c>
      <c r="L13" s="20">
        <f t="shared" si="8"/>
        <v>0</v>
      </c>
      <c r="M13" s="20">
        <f t="shared" si="8"/>
        <v>0</v>
      </c>
      <c r="N13" s="20">
        <f t="shared" si="8"/>
        <v>0</v>
      </c>
      <c r="O13" s="20">
        <f t="shared" si="8"/>
        <v>2389552.53</v>
      </c>
    </row>
    <row r="14" spans="1:15" s="34" customFormat="1" ht="17.25" customHeight="1">
      <c r="A14" s="104" t="s">
        <v>39</v>
      </c>
      <c r="B14" s="105"/>
      <c r="C14" s="106"/>
      <c r="D14" s="21"/>
      <c r="E14" s="68"/>
      <c r="F14" s="68"/>
      <c r="G14" s="23">
        <f>H14+I14+J14+K14+L14+M14</f>
        <v>45514928.43000001</v>
      </c>
      <c r="H14" s="20">
        <f>H17+H24+H70</f>
        <v>13415077.26</v>
      </c>
      <c r="I14" s="20">
        <f aca="true" t="shared" si="9" ref="I14:O14">I24+I17+I32+I70</f>
        <v>9888394.309999999</v>
      </c>
      <c r="J14" s="20">
        <f t="shared" si="9"/>
        <v>12700125.16</v>
      </c>
      <c r="K14" s="20">
        <f>K24+K17+K32+K70</f>
        <v>9511331.700000001</v>
      </c>
      <c r="L14" s="20">
        <f t="shared" si="9"/>
        <v>0</v>
      </c>
      <c r="M14" s="20">
        <f t="shared" si="9"/>
        <v>0</v>
      </c>
      <c r="N14" s="20">
        <f t="shared" si="9"/>
        <v>0</v>
      </c>
      <c r="O14" s="20">
        <f t="shared" si="9"/>
        <v>22211456.860000003</v>
      </c>
    </row>
    <row r="15" spans="1:15" s="26" customFormat="1" ht="24.75" customHeight="1">
      <c r="A15" s="110">
        <v>600</v>
      </c>
      <c r="B15" s="110"/>
      <c r="C15" s="24" t="s">
        <v>22</v>
      </c>
      <c r="D15" s="24"/>
      <c r="E15" s="62"/>
      <c r="F15" s="62"/>
      <c r="G15" s="25">
        <f aca="true" t="shared" si="10" ref="G15:G21">H15+I15+J15+K15+L15+M15</f>
        <v>2961270.159999999</v>
      </c>
      <c r="H15" s="25">
        <f>H16</f>
        <v>259987.03</v>
      </c>
      <c r="I15" s="25">
        <f aca="true" t="shared" si="11" ref="I15:O16">I16</f>
        <v>2525972.0399999996</v>
      </c>
      <c r="J15" s="25">
        <f t="shared" si="11"/>
        <v>175311.09</v>
      </c>
      <c r="K15" s="25">
        <f t="shared" si="11"/>
        <v>0</v>
      </c>
      <c r="L15" s="42">
        <f t="shared" si="11"/>
        <v>0</v>
      </c>
      <c r="M15" s="42">
        <f t="shared" si="11"/>
        <v>0</v>
      </c>
      <c r="N15" s="42">
        <f t="shared" si="11"/>
        <v>0</v>
      </c>
      <c r="O15" s="42">
        <f t="shared" si="11"/>
        <v>175311.09</v>
      </c>
    </row>
    <row r="16" spans="1:15" s="26" customFormat="1" ht="24.75" customHeight="1">
      <c r="A16" s="24"/>
      <c r="B16" s="24">
        <v>60015</v>
      </c>
      <c r="C16" s="24" t="s">
        <v>45</v>
      </c>
      <c r="D16" s="24"/>
      <c r="E16" s="62"/>
      <c r="F16" s="62"/>
      <c r="G16" s="25">
        <f t="shared" si="10"/>
        <v>2961270.159999999</v>
      </c>
      <c r="H16" s="25">
        <f>H17</f>
        <v>259987.03</v>
      </c>
      <c r="I16" s="25">
        <f t="shared" si="11"/>
        <v>2525972.0399999996</v>
      </c>
      <c r="J16" s="25">
        <f t="shared" si="11"/>
        <v>175311.09</v>
      </c>
      <c r="K16" s="25">
        <f t="shared" si="11"/>
        <v>0</v>
      </c>
      <c r="L16" s="42">
        <f t="shared" si="11"/>
        <v>0</v>
      </c>
      <c r="M16" s="42">
        <f t="shared" si="11"/>
        <v>0</v>
      </c>
      <c r="N16" s="42">
        <f t="shared" si="11"/>
        <v>0</v>
      </c>
      <c r="O16" s="42">
        <f t="shared" si="11"/>
        <v>175311.09</v>
      </c>
    </row>
    <row r="17" spans="1:15" s="56" customFormat="1" ht="24.75" customHeight="1">
      <c r="A17" s="55"/>
      <c r="B17" s="55"/>
      <c r="C17" s="55" t="str">
        <f>C19</f>
        <v>- wydatki majątkowe</v>
      </c>
      <c r="D17" s="55"/>
      <c r="E17" s="69"/>
      <c r="F17" s="69"/>
      <c r="G17" s="40">
        <f t="shared" si="10"/>
        <v>2961270.159999999</v>
      </c>
      <c r="H17" s="41">
        <f>H18</f>
        <v>259987.03</v>
      </c>
      <c r="I17" s="41">
        <f aca="true" t="shared" si="12" ref="I17:N17">I20+I21</f>
        <v>2525972.0399999996</v>
      </c>
      <c r="J17" s="41">
        <f t="shared" si="12"/>
        <v>175311.09</v>
      </c>
      <c r="K17" s="41">
        <f t="shared" si="12"/>
        <v>0</v>
      </c>
      <c r="L17" s="41">
        <f t="shared" si="12"/>
        <v>0</v>
      </c>
      <c r="M17" s="41">
        <f t="shared" si="12"/>
        <v>0</v>
      </c>
      <c r="N17" s="41">
        <f t="shared" si="12"/>
        <v>0</v>
      </c>
      <c r="O17" s="40">
        <f>J17+K17+L17+M17+N17</f>
        <v>175311.09</v>
      </c>
    </row>
    <row r="18" spans="1:15" s="2" customFormat="1" ht="52.5" customHeight="1">
      <c r="A18" s="12">
        <v>1</v>
      </c>
      <c r="B18" s="12"/>
      <c r="C18" s="57" t="s">
        <v>98</v>
      </c>
      <c r="D18" s="13" t="s">
        <v>35</v>
      </c>
      <c r="E18" s="69">
        <v>2010</v>
      </c>
      <c r="F18" s="69">
        <v>2012</v>
      </c>
      <c r="G18" s="14">
        <f t="shared" si="10"/>
        <v>2961270.159999999</v>
      </c>
      <c r="H18" s="9">
        <v>259987.03</v>
      </c>
      <c r="I18" s="9">
        <f aca="true" t="shared" si="13" ref="I18:N18">I19</f>
        <v>2525972.0399999996</v>
      </c>
      <c r="J18" s="9">
        <f t="shared" si="13"/>
        <v>175311.09</v>
      </c>
      <c r="K18" s="9">
        <f t="shared" si="13"/>
        <v>0</v>
      </c>
      <c r="L18" s="9">
        <f t="shared" si="13"/>
        <v>0</v>
      </c>
      <c r="M18" s="41">
        <f t="shared" si="13"/>
        <v>0</v>
      </c>
      <c r="N18" s="41">
        <f t="shared" si="13"/>
        <v>0</v>
      </c>
      <c r="O18" s="40">
        <f>J18+K18+L18+M18+N18</f>
        <v>175311.09</v>
      </c>
    </row>
    <row r="19" spans="1:15" s="18" customFormat="1" ht="24" customHeight="1">
      <c r="A19" s="8"/>
      <c r="B19" s="8"/>
      <c r="C19" s="8" t="s">
        <v>1</v>
      </c>
      <c r="D19" s="15"/>
      <c r="E19" s="66"/>
      <c r="F19" s="66"/>
      <c r="G19" s="14">
        <f t="shared" si="10"/>
        <v>2961270.159999999</v>
      </c>
      <c r="H19" s="9">
        <v>259987.03</v>
      </c>
      <c r="I19" s="9">
        <f aca="true" t="shared" si="14" ref="I19:N19">I20+I21</f>
        <v>2525972.0399999996</v>
      </c>
      <c r="J19" s="9">
        <f t="shared" si="14"/>
        <v>175311.09</v>
      </c>
      <c r="K19" s="9">
        <f t="shared" si="14"/>
        <v>0</v>
      </c>
      <c r="L19" s="9">
        <f t="shared" si="14"/>
        <v>0</v>
      </c>
      <c r="M19" s="41">
        <f t="shared" si="14"/>
        <v>0</v>
      </c>
      <c r="N19" s="41">
        <f t="shared" si="14"/>
        <v>0</v>
      </c>
      <c r="O19" s="40">
        <f>J19+K19+L19+M19+N19</f>
        <v>175311.09</v>
      </c>
    </row>
    <row r="20" spans="1:15" s="18" customFormat="1" ht="22.5" customHeight="1">
      <c r="A20" s="12"/>
      <c r="B20" s="12"/>
      <c r="C20" s="13" t="s">
        <v>60</v>
      </c>
      <c r="D20" s="12"/>
      <c r="E20" s="69"/>
      <c r="F20" s="69"/>
      <c r="G20" s="14">
        <f t="shared" si="10"/>
        <v>444190.52999999997</v>
      </c>
      <c r="H20" s="9">
        <v>38998.05</v>
      </c>
      <c r="I20" s="9">
        <f>403347.48-24451.66</f>
        <v>378895.82</v>
      </c>
      <c r="J20" s="9">
        <f>1845+24451.66</f>
        <v>26296.66</v>
      </c>
      <c r="K20" s="9">
        <v>0</v>
      </c>
      <c r="L20" s="9">
        <v>0</v>
      </c>
      <c r="M20" s="41">
        <v>0</v>
      </c>
      <c r="N20" s="41">
        <v>0</v>
      </c>
      <c r="O20" s="40">
        <f>J20+K20+L20+M20+N20</f>
        <v>26296.66</v>
      </c>
    </row>
    <row r="21" spans="1:15" s="18" customFormat="1" ht="22.5" customHeight="1">
      <c r="A21" s="12"/>
      <c r="B21" s="12"/>
      <c r="C21" s="13" t="s">
        <v>61</v>
      </c>
      <c r="D21" s="12"/>
      <c r="E21" s="69"/>
      <c r="F21" s="69"/>
      <c r="G21" s="14">
        <f t="shared" si="10"/>
        <v>2517079.63</v>
      </c>
      <c r="H21" s="9">
        <v>220988.98</v>
      </c>
      <c r="I21" s="9">
        <f>2285635.65-138559.43</f>
        <v>2147076.2199999997</v>
      </c>
      <c r="J21" s="9">
        <f>10455+138559.43</f>
        <v>149014.43</v>
      </c>
      <c r="K21" s="9">
        <v>0</v>
      </c>
      <c r="L21" s="9">
        <v>0</v>
      </c>
      <c r="M21" s="41">
        <v>0</v>
      </c>
      <c r="N21" s="41">
        <v>0</v>
      </c>
      <c r="O21" s="40">
        <f>J21+K21+L21+M21+N21</f>
        <v>149014.43</v>
      </c>
    </row>
    <row r="22" spans="1:15" s="26" customFormat="1" ht="24.75" customHeight="1">
      <c r="A22" s="110">
        <v>700</v>
      </c>
      <c r="B22" s="110"/>
      <c r="C22" s="24" t="s">
        <v>31</v>
      </c>
      <c r="D22" s="24"/>
      <c r="E22" s="62"/>
      <c r="F22" s="62"/>
      <c r="G22" s="25">
        <f aca="true" t="shared" si="15" ref="G22:G28">H22+I22+J22+K22+L22+M22</f>
        <v>25755324.64</v>
      </c>
      <c r="H22" s="25">
        <f>16434651.82-3261828.37</f>
        <v>13172823.45</v>
      </c>
      <c r="I22" s="25">
        <f aca="true" t="shared" si="16" ref="I22:O23">I23</f>
        <v>7325522.27</v>
      </c>
      <c r="J22" s="25">
        <f t="shared" si="16"/>
        <v>5256978.920000001</v>
      </c>
      <c r="K22" s="25">
        <f t="shared" si="16"/>
        <v>0</v>
      </c>
      <c r="L22" s="42">
        <f t="shared" si="16"/>
        <v>0</v>
      </c>
      <c r="M22" s="42">
        <f t="shared" si="16"/>
        <v>0</v>
      </c>
      <c r="N22" s="42">
        <f t="shared" si="16"/>
        <v>0</v>
      </c>
      <c r="O22" s="42">
        <f t="shared" si="16"/>
        <v>5256978.920000001</v>
      </c>
    </row>
    <row r="23" spans="1:15" s="81" customFormat="1" ht="24.75" customHeight="1">
      <c r="A23" s="24"/>
      <c r="B23" s="24">
        <v>70005</v>
      </c>
      <c r="C23" s="24" t="s">
        <v>32</v>
      </c>
      <c r="D23" s="24"/>
      <c r="E23" s="62"/>
      <c r="F23" s="62"/>
      <c r="G23" s="25">
        <f t="shared" si="15"/>
        <v>25755324.64</v>
      </c>
      <c r="H23" s="25">
        <f>16434651.82-3261828.37</f>
        <v>13172823.45</v>
      </c>
      <c r="I23" s="25">
        <f t="shared" si="16"/>
        <v>7325522.27</v>
      </c>
      <c r="J23" s="25">
        <f t="shared" si="16"/>
        <v>5256978.920000001</v>
      </c>
      <c r="K23" s="25">
        <f t="shared" si="16"/>
        <v>0</v>
      </c>
      <c r="L23" s="42">
        <f t="shared" si="16"/>
        <v>0</v>
      </c>
      <c r="M23" s="42">
        <f t="shared" si="16"/>
        <v>0</v>
      </c>
      <c r="N23" s="42">
        <f t="shared" si="16"/>
        <v>0</v>
      </c>
      <c r="O23" s="42">
        <f t="shared" si="16"/>
        <v>5256978.920000001</v>
      </c>
    </row>
    <row r="24" spans="1:15" s="75" customFormat="1" ht="24.75" customHeight="1">
      <c r="A24" s="12"/>
      <c r="B24" s="12"/>
      <c r="C24" s="8" t="str">
        <f>C26</f>
        <v>- wydatki majątkowe</v>
      </c>
      <c r="D24" s="12"/>
      <c r="E24" s="69"/>
      <c r="F24" s="69"/>
      <c r="G24" s="40">
        <f t="shared" si="15"/>
        <v>25689401.42</v>
      </c>
      <c r="H24" s="41">
        <f>H25</f>
        <v>13106900.23</v>
      </c>
      <c r="I24" s="41">
        <f aca="true" t="shared" si="17" ref="I24:N24">I27+I28</f>
        <v>7325522.27</v>
      </c>
      <c r="J24" s="41">
        <f t="shared" si="17"/>
        <v>5256978.920000001</v>
      </c>
      <c r="K24" s="41">
        <f t="shared" si="17"/>
        <v>0</v>
      </c>
      <c r="L24" s="41">
        <f t="shared" si="17"/>
        <v>0</v>
      </c>
      <c r="M24" s="41">
        <f t="shared" si="17"/>
        <v>0</v>
      </c>
      <c r="N24" s="41">
        <f t="shared" si="17"/>
        <v>0</v>
      </c>
      <c r="O24" s="41">
        <f>O27+O28</f>
        <v>5256978.920000001</v>
      </c>
    </row>
    <row r="25" spans="1:15" s="82" customFormat="1" ht="52.5" customHeight="1">
      <c r="A25" s="8">
        <v>2</v>
      </c>
      <c r="B25" s="8"/>
      <c r="C25" s="15" t="s">
        <v>30</v>
      </c>
      <c r="D25" s="15" t="s">
        <v>35</v>
      </c>
      <c r="E25" s="66">
        <v>2007</v>
      </c>
      <c r="F25" s="66">
        <v>2012</v>
      </c>
      <c r="G25" s="14">
        <f t="shared" si="15"/>
        <v>25689401.42</v>
      </c>
      <c r="H25" s="9">
        <f>H26</f>
        <v>13106900.23</v>
      </c>
      <c r="I25" s="9">
        <f aca="true" t="shared" si="18" ref="I25:N25">I26</f>
        <v>7325522.27</v>
      </c>
      <c r="J25" s="9">
        <f t="shared" si="18"/>
        <v>5256978.920000001</v>
      </c>
      <c r="K25" s="9">
        <f t="shared" si="18"/>
        <v>0</v>
      </c>
      <c r="L25" s="9">
        <f t="shared" si="18"/>
        <v>0</v>
      </c>
      <c r="M25" s="9">
        <f t="shared" si="18"/>
        <v>0</v>
      </c>
      <c r="N25" s="9">
        <f t="shared" si="18"/>
        <v>0</v>
      </c>
      <c r="O25" s="14">
        <f>J25+K25+L25+M25+N25</f>
        <v>5256978.920000001</v>
      </c>
    </row>
    <row r="26" spans="1:15" s="75" customFormat="1" ht="24" customHeight="1">
      <c r="A26" s="8"/>
      <c r="B26" s="8"/>
      <c r="C26" s="8" t="s">
        <v>1</v>
      </c>
      <c r="D26" s="15"/>
      <c r="E26" s="66"/>
      <c r="F26" s="66"/>
      <c r="G26" s="14">
        <f t="shared" si="15"/>
        <v>25689401.42</v>
      </c>
      <c r="H26" s="9">
        <f>H27+H28</f>
        <v>13106900.23</v>
      </c>
      <c r="I26" s="9">
        <f aca="true" t="shared" si="19" ref="I26:N26">I27+I28</f>
        <v>7325522.27</v>
      </c>
      <c r="J26" s="9">
        <f t="shared" si="19"/>
        <v>5256978.920000001</v>
      </c>
      <c r="K26" s="9">
        <f t="shared" si="19"/>
        <v>0</v>
      </c>
      <c r="L26" s="9">
        <f t="shared" si="19"/>
        <v>0</v>
      </c>
      <c r="M26" s="9">
        <f t="shared" si="19"/>
        <v>0</v>
      </c>
      <c r="N26" s="9">
        <f t="shared" si="19"/>
        <v>0</v>
      </c>
      <c r="O26" s="14">
        <f>J26+K26+L26+M26+N26</f>
        <v>5256978.920000001</v>
      </c>
    </row>
    <row r="27" spans="1:15" s="75" customFormat="1" ht="22.5" customHeight="1">
      <c r="A27" s="8"/>
      <c r="B27" s="8"/>
      <c r="C27" s="15" t="s">
        <v>60</v>
      </c>
      <c r="D27" s="8"/>
      <c r="E27" s="66"/>
      <c r="F27" s="66"/>
      <c r="G27" s="14">
        <f t="shared" si="15"/>
        <v>11667171.7</v>
      </c>
      <c r="H27" s="9">
        <v>5290157.06</v>
      </c>
      <c r="I27" s="9">
        <f>4357220.97+2359865.65-1248365.91-506597.72</f>
        <v>4962122.989999999</v>
      </c>
      <c r="J27" s="9">
        <f>2838571.31-1423679.66</f>
        <v>1414891.6500000001</v>
      </c>
      <c r="K27" s="9">
        <v>0</v>
      </c>
      <c r="L27" s="9">
        <v>0</v>
      </c>
      <c r="M27" s="9">
        <v>0</v>
      </c>
      <c r="N27" s="9">
        <v>0</v>
      </c>
      <c r="O27" s="14">
        <f>J27+K27+L27+M27+N27</f>
        <v>1414891.6500000001</v>
      </c>
    </row>
    <row r="28" spans="1:15" s="75" customFormat="1" ht="22.5" customHeight="1">
      <c r="A28" s="8"/>
      <c r="B28" s="8"/>
      <c r="C28" s="15" t="s">
        <v>61</v>
      </c>
      <c r="D28" s="8"/>
      <c r="E28" s="66"/>
      <c r="F28" s="66"/>
      <c r="G28" s="14">
        <f t="shared" si="15"/>
        <v>14022229.720000003</v>
      </c>
      <c r="H28" s="9">
        <v>7816743.17</v>
      </c>
      <c r="I28" s="9">
        <f>5167763.9+1144501.81-3948866.43</f>
        <v>2363399.2800000007</v>
      </c>
      <c r="J28" s="9">
        <f>6282496.32-2440409.05</f>
        <v>3842087.2700000005</v>
      </c>
      <c r="K28" s="9">
        <v>0</v>
      </c>
      <c r="L28" s="9">
        <v>0</v>
      </c>
      <c r="M28" s="9">
        <v>0</v>
      </c>
      <c r="N28" s="9">
        <v>0</v>
      </c>
      <c r="O28" s="14">
        <f>J28+K28+L28+M28+N28</f>
        <v>3842087.2700000005</v>
      </c>
    </row>
    <row r="29" spans="1:15" s="26" customFormat="1" ht="24.75" customHeight="1">
      <c r="A29" s="110">
        <v>801</v>
      </c>
      <c r="B29" s="110"/>
      <c r="C29" s="24" t="s">
        <v>17</v>
      </c>
      <c r="D29" s="24"/>
      <c r="E29" s="62"/>
      <c r="F29" s="62"/>
      <c r="G29" s="25">
        <f aca="true" t="shared" si="20" ref="G29:G70">H29+I29+J29+K29+L29+M29</f>
        <v>2535919.6999999997</v>
      </c>
      <c r="H29" s="25">
        <v>0</v>
      </c>
      <c r="I29" s="25">
        <f aca="true" t="shared" si="21" ref="I29:O29">I30</f>
        <v>332907.4</v>
      </c>
      <c r="J29" s="25">
        <f t="shared" si="21"/>
        <v>1618049.96</v>
      </c>
      <c r="K29" s="25">
        <f t="shared" si="21"/>
        <v>584962.34</v>
      </c>
      <c r="L29" s="42">
        <f t="shared" si="21"/>
        <v>0</v>
      </c>
      <c r="M29" s="42">
        <f t="shared" si="21"/>
        <v>0</v>
      </c>
      <c r="N29" s="42">
        <f t="shared" si="21"/>
        <v>0</v>
      </c>
      <c r="O29" s="42">
        <f t="shared" si="21"/>
        <v>2203012.3</v>
      </c>
    </row>
    <row r="30" spans="1:15" s="26" customFormat="1" ht="24.75" customHeight="1">
      <c r="A30" s="24"/>
      <c r="B30" s="24">
        <v>80195</v>
      </c>
      <c r="C30" s="24" t="s">
        <v>86</v>
      </c>
      <c r="D30" s="24"/>
      <c r="E30" s="62"/>
      <c r="F30" s="62"/>
      <c r="G30" s="25">
        <f t="shared" si="20"/>
        <v>2535919.6999999997</v>
      </c>
      <c r="H30" s="25">
        <v>0</v>
      </c>
      <c r="I30" s="25">
        <f>I31</f>
        <v>332907.4</v>
      </c>
      <c r="J30" s="25">
        <f>J31+J32</f>
        <v>1618049.96</v>
      </c>
      <c r="K30" s="25">
        <f>K31</f>
        <v>584962.34</v>
      </c>
      <c r="L30" s="42">
        <f>L31</f>
        <v>0</v>
      </c>
      <c r="M30" s="42">
        <f>M31</f>
        <v>0</v>
      </c>
      <c r="N30" s="42">
        <f>N31</f>
        <v>0</v>
      </c>
      <c r="O30" s="42">
        <f>O31+O32</f>
        <v>2203012.3</v>
      </c>
    </row>
    <row r="31" spans="1:15" s="18" customFormat="1" ht="24.75" customHeight="1">
      <c r="A31" s="12"/>
      <c r="B31" s="12"/>
      <c r="C31" s="48" t="s">
        <v>38</v>
      </c>
      <c r="D31" s="12"/>
      <c r="E31" s="69"/>
      <c r="F31" s="69"/>
      <c r="G31" s="40">
        <f t="shared" si="20"/>
        <v>2527667.55</v>
      </c>
      <c r="H31" s="41">
        <v>0</v>
      </c>
      <c r="I31" s="41">
        <f>I34+I38+I42+I46+I50+I54</f>
        <v>332907.4</v>
      </c>
      <c r="J31" s="41">
        <f>J34+J38+J42+J46+J50+J54</f>
        <v>1609797.81</v>
      </c>
      <c r="K31" s="41">
        <f>K34+K38+K42+K46+K50+K54</f>
        <v>584962.34</v>
      </c>
      <c r="L31" s="41">
        <f>L55+L56</f>
        <v>0</v>
      </c>
      <c r="M31" s="41">
        <f>M55+M56</f>
        <v>0</v>
      </c>
      <c r="N31" s="41">
        <f>N55+N56</f>
        <v>0</v>
      </c>
      <c r="O31" s="40">
        <f aca="true" t="shared" si="22" ref="O31:O59">J31+K31+L31+M31+N31</f>
        <v>2194760.15</v>
      </c>
    </row>
    <row r="32" spans="1:15" s="18" customFormat="1" ht="24.75" customHeight="1">
      <c r="A32" s="12"/>
      <c r="B32" s="12"/>
      <c r="C32" s="48" t="s">
        <v>39</v>
      </c>
      <c r="D32" s="12"/>
      <c r="E32" s="69"/>
      <c r="F32" s="69"/>
      <c r="G32" s="40">
        <f t="shared" si="20"/>
        <v>8252.15</v>
      </c>
      <c r="H32" s="41">
        <v>0</v>
      </c>
      <c r="I32" s="41">
        <v>0</v>
      </c>
      <c r="J32" s="41">
        <f>J58+J59</f>
        <v>8252.15</v>
      </c>
      <c r="K32" s="41">
        <v>0</v>
      </c>
      <c r="L32" s="41">
        <v>0</v>
      </c>
      <c r="M32" s="41">
        <v>0</v>
      </c>
      <c r="N32" s="41">
        <v>0</v>
      </c>
      <c r="O32" s="40">
        <f t="shared" si="22"/>
        <v>8252.15</v>
      </c>
    </row>
    <row r="33" spans="1:15" s="2" customFormat="1" ht="30" customHeight="1">
      <c r="A33" s="12">
        <v>3</v>
      </c>
      <c r="B33" s="12"/>
      <c r="C33" s="49" t="s">
        <v>71</v>
      </c>
      <c r="D33" s="13" t="s">
        <v>72</v>
      </c>
      <c r="E33" s="69">
        <v>2011</v>
      </c>
      <c r="F33" s="69">
        <v>2013</v>
      </c>
      <c r="G33" s="14">
        <f t="shared" si="20"/>
        <v>60193.5</v>
      </c>
      <c r="H33" s="9">
        <v>0</v>
      </c>
      <c r="I33" s="9">
        <f aca="true" t="shared" si="23" ref="I33:N33">I34</f>
        <v>5794.68</v>
      </c>
      <c r="J33" s="9">
        <f t="shared" si="23"/>
        <v>50385.92</v>
      </c>
      <c r="K33" s="9">
        <f t="shared" si="23"/>
        <v>4012.9</v>
      </c>
      <c r="L33" s="9">
        <f t="shared" si="23"/>
        <v>0</v>
      </c>
      <c r="M33" s="9">
        <f t="shared" si="23"/>
        <v>0</v>
      </c>
      <c r="N33" s="9">
        <f t="shared" si="23"/>
        <v>0</v>
      </c>
      <c r="O33" s="40">
        <f t="shared" si="22"/>
        <v>54398.82</v>
      </c>
    </row>
    <row r="34" spans="1:15" s="18" customFormat="1" ht="24" customHeight="1">
      <c r="A34" s="8"/>
      <c r="B34" s="8"/>
      <c r="C34" s="8" t="s">
        <v>70</v>
      </c>
      <c r="D34" s="15"/>
      <c r="E34" s="66"/>
      <c r="F34" s="66"/>
      <c r="G34" s="14">
        <f t="shared" si="20"/>
        <v>60193.5</v>
      </c>
      <c r="H34" s="9">
        <v>0</v>
      </c>
      <c r="I34" s="9">
        <f aca="true" t="shared" si="24" ref="I34:N34">I35+I36</f>
        <v>5794.68</v>
      </c>
      <c r="J34" s="9">
        <f t="shared" si="24"/>
        <v>50385.92</v>
      </c>
      <c r="K34" s="9">
        <f t="shared" si="24"/>
        <v>4012.9</v>
      </c>
      <c r="L34" s="9">
        <f t="shared" si="24"/>
        <v>0</v>
      </c>
      <c r="M34" s="41">
        <f t="shared" si="24"/>
        <v>0</v>
      </c>
      <c r="N34" s="41">
        <f t="shared" si="24"/>
        <v>0</v>
      </c>
      <c r="O34" s="40">
        <f t="shared" si="22"/>
        <v>54398.82</v>
      </c>
    </row>
    <row r="35" spans="1:15" s="18" customFormat="1" ht="22.5" customHeight="1">
      <c r="A35" s="12"/>
      <c r="B35" s="12"/>
      <c r="C35" s="13" t="s">
        <v>60</v>
      </c>
      <c r="D35" s="12"/>
      <c r="E35" s="69"/>
      <c r="F35" s="69"/>
      <c r="G35" s="14">
        <f t="shared" si="20"/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41">
        <v>0</v>
      </c>
      <c r="N35" s="41">
        <v>0</v>
      </c>
      <c r="O35" s="40">
        <f t="shared" si="22"/>
        <v>0</v>
      </c>
    </row>
    <row r="36" spans="1:15" s="18" customFormat="1" ht="22.5" customHeight="1">
      <c r="A36" s="12"/>
      <c r="B36" s="12"/>
      <c r="C36" s="13" t="s">
        <v>61</v>
      </c>
      <c r="D36" s="12"/>
      <c r="E36" s="69"/>
      <c r="F36" s="69"/>
      <c r="G36" s="14">
        <f t="shared" si="20"/>
        <v>60193.5</v>
      </c>
      <c r="H36" s="9">
        <v>0</v>
      </c>
      <c r="I36" s="9">
        <f>20064.5-14269.82</f>
        <v>5794.68</v>
      </c>
      <c r="J36" s="9">
        <f>36116.1+14269.82</f>
        <v>50385.92</v>
      </c>
      <c r="K36" s="9">
        <v>4012.9</v>
      </c>
      <c r="L36" s="9">
        <v>0</v>
      </c>
      <c r="M36" s="41">
        <v>0</v>
      </c>
      <c r="N36" s="41">
        <v>0</v>
      </c>
      <c r="O36" s="40">
        <f t="shared" si="22"/>
        <v>54398.82</v>
      </c>
    </row>
    <row r="37" spans="1:15" s="2" customFormat="1" ht="34.5" customHeight="1">
      <c r="A37" s="12">
        <v>4</v>
      </c>
      <c r="B37" s="12"/>
      <c r="C37" s="49" t="s">
        <v>73</v>
      </c>
      <c r="D37" s="13" t="s">
        <v>74</v>
      </c>
      <c r="E37" s="69">
        <v>2011</v>
      </c>
      <c r="F37" s="69">
        <v>2012</v>
      </c>
      <c r="G37" s="14">
        <f t="shared" si="20"/>
        <v>340374.18</v>
      </c>
      <c r="H37" s="9">
        <v>0</v>
      </c>
      <c r="I37" s="9">
        <f>I38</f>
        <v>174467.94</v>
      </c>
      <c r="J37" s="9">
        <f aca="true" t="shared" si="25" ref="J37:O37">J38</f>
        <v>165906.24</v>
      </c>
      <c r="K37" s="9">
        <f t="shared" si="25"/>
        <v>0</v>
      </c>
      <c r="L37" s="9">
        <f t="shared" si="25"/>
        <v>0</v>
      </c>
      <c r="M37" s="9">
        <f t="shared" si="25"/>
        <v>0</v>
      </c>
      <c r="N37" s="9">
        <f t="shared" si="25"/>
        <v>0</v>
      </c>
      <c r="O37" s="14">
        <f t="shared" si="25"/>
        <v>165906.24</v>
      </c>
    </row>
    <row r="38" spans="1:15" s="18" customFormat="1" ht="24" customHeight="1">
      <c r="A38" s="8"/>
      <c r="B38" s="8"/>
      <c r="C38" s="8" t="s">
        <v>70</v>
      </c>
      <c r="D38" s="15"/>
      <c r="E38" s="66"/>
      <c r="F38" s="66"/>
      <c r="G38" s="14">
        <f t="shared" si="20"/>
        <v>340374.18</v>
      </c>
      <c r="H38" s="9">
        <v>0</v>
      </c>
      <c r="I38" s="9">
        <f aca="true" t="shared" si="26" ref="I38:N38">I39+I40</f>
        <v>174467.94</v>
      </c>
      <c r="J38" s="9">
        <f t="shared" si="26"/>
        <v>165906.24</v>
      </c>
      <c r="K38" s="9">
        <f t="shared" si="26"/>
        <v>0</v>
      </c>
      <c r="L38" s="9">
        <f t="shared" si="26"/>
        <v>0</v>
      </c>
      <c r="M38" s="41">
        <f t="shared" si="26"/>
        <v>0</v>
      </c>
      <c r="N38" s="41">
        <f t="shared" si="26"/>
        <v>0</v>
      </c>
      <c r="O38" s="40">
        <f t="shared" si="22"/>
        <v>165906.24</v>
      </c>
    </row>
    <row r="39" spans="1:15" s="18" customFormat="1" ht="22.5" customHeight="1">
      <c r="A39" s="12"/>
      <c r="B39" s="12"/>
      <c r="C39" s="13" t="s">
        <v>60</v>
      </c>
      <c r="D39" s="12"/>
      <c r="E39" s="69"/>
      <c r="F39" s="69"/>
      <c r="G39" s="14">
        <f t="shared" si="20"/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41">
        <v>0</v>
      </c>
      <c r="N39" s="41">
        <v>0</v>
      </c>
      <c r="O39" s="40">
        <f t="shared" si="22"/>
        <v>0</v>
      </c>
    </row>
    <row r="40" spans="1:15" s="18" customFormat="1" ht="22.5" customHeight="1">
      <c r="A40" s="12"/>
      <c r="B40" s="12"/>
      <c r="C40" s="13" t="s">
        <v>61</v>
      </c>
      <c r="D40" s="12"/>
      <c r="E40" s="69"/>
      <c r="F40" s="69"/>
      <c r="G40" s="14">
        <f t="shared" si="20"/>
        <v>340374.18</v>
      </c>
      <c r="H40" s="9">
        <v>0</v>
      </c>
      <c r="I40" s="9">
        <f>180676.59-6208.65</f>
        <v>174467.94</v>
      </c>
      <c r="J40" s="9">
        <f>159697.59+6208.65</f>
        <v>165906.24</v>
      </c>
      <c r="K40" s="9">
        <v>0</v>
      </c>
      <c r="L40" s="9">
        <v>0</v>
      </c>
      <c r="M40" s="41">
        <v>0</v>
      </c>
      <c r="N40" s="41">
        <v>0</v>
      </c>
      <c r="O40" s="40">
        <f t="shared" si="22"/>
        <v>165906.24</v>
      </c>
    </row>
    <row r="41" spans="1:15" s="2" customFormat="1" ht="34.5" customHeight="1">
      <c r="A41" s="12">
        <v>5</v>
      </c>
      <c r="B41" s="12"/>
      <c r="C41" s="49" t="s">
        <v>87</v>
      </c>
      <c r="D41" s="13" t="s">
        <v>72</v>
      </c>
      <c r="E41" s="69">
        <v>2011</v>
      </c>
      <c r="F41" s="69">
        <v>2012</v>
      </c>
      <c r="G41" s="14">
        <f t="shared" si="20"/>
        <v>167540.69</v>
      </c>
      <c r="H41" s="9">
        <v>0</v>
      </c>
      <c r="I41" s="9">
        <f>I42</f>
        <v>0</v>
      </c>
      <c r="J41" s="9">
        <f aca="true" t="shared" si="27" ref="J41:O41">J42</f>
        <v>167540.69</v>
      </c>
      <c r="K41" s="9">
        <f t="shared" si="27"/>
        <v>0</v>
      </c>
      <c r="L41" s="9">
        <f t="shared" si="27"/>
        <v>0</v>
      </c>
      <c r="M41" s="9">
        <f t="shared" si="27"/>
        <v>0</v>
      </c>
      <c r="N41" s="9">
        <f t="shared" si="27"/>
        <v>0</v>
      </c>
      <c r="O41" s="14">
        <f t="shared" si="27"/>
        <v>167540.69</v>
      </c>
    </row>
    <row r="42" spans="1:15" s="18" customFormat="1" ht="24" customHeight="1">
      <c r="A42" s="8"/>
      <c r="B42" s="8"/>
      <c r="C42" s="8" t="s">
        <v>70</v>
      </c>
      <c r="D42" s="15"/>
      <c r="E42" s="66"/>
      <c r="F42" s="66"/>
      <c r="G42" s="14">
        <f t="shared" si="20"/>
        <v>167540.69</v>
      </c>
      <c r="H42" s="9">
        <v>0</v>
      </c>
      <c r="I42" s="9">
        <f aca="true" t="shared" si="28" ref="I42:N42">I43+I44</f>
        <v>0</v>
      </c>
      <c r="J42" s="9">
        <f t="shared" si="28"/>
        <v>167540.69</v>
      </c>
      <c r="K42" s="9">
        <f t="shared" si="28"/>
        <v>0</v>
      </c>
      <c r="L42" s="9">
        <f t="shared" si="28"/>
        <v>0</v>
      </c>
      <c r="M42" s="41">
        <f t="shared" si="28"/>
        <v>0</v>
      </c>
      <c r="N42" s="41">
        <f t="shared" si="28"/>
        <v>0</v>
      </c>
      <c r="O42" s="40">
        <f t="shared" si="22"/>
        <v>167540.69</v>
      </c>
    </row>
    <row r="43" spans="1:15" s="18" customFormat="1" ht="22.5" customHeight="1">
      <c r="A43" s="12"/>
      <c r="B43" s="12"/>
      <c r="C43" s="13" t="s">
        <v>60</v>
      </c>
      <c r="D43" s="12"/>
      <c r="E43" s="69"/>
      <c r="F43" s="69"/>
      <c r="G43" s="14">
        <f t="shared" si="20"/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41">
        <v>0</v>
      </c>
      <c r="N43" s="41">
        <v>0</v>
      </c>
      <c r="O43" s="40">
        <f t="shared" si="22"/>
        <v>0</v>
      </c>
    </row>
    <row r="44" spans="1:15" s="18" customFormat="1" ht="22.5" customHeight="1">
      <c r="A44" s="12"/>
      <c r="B44" s="12"/>
      <c r="C44" s="13" t="s">
        <v>61</v>
      </c>
      <c r="D44" s="12"/>
      <c r="E44" s="69"/>
      <c r="F44" s="69"/>
      <c r="G44" s="14">
        <f t="shared" si="20"/>
        <v>167540.69</v>
      </c>
      <c r="H44" s="9">
        <v>0</v>
      </c>
      <c r="I44" s="9">
        <f>14116.23-14116.23</f>
        <v>0</v>
      </c>
      <c r="J44" s="9">
        <f>153424.46+14116.23</f>
        <v>167540.69</v>
      </c>
      <c r="K44" s="9">
        <v>0</v>
      </c>
      <c r="L44" s="9">
        <v>0</v>
      </c>
      <c r="M44" s="41">
        <v>0</v>
      </c>
      <c r="N44" s="41">
        <v>0</v>
      </c>
      <c r="O44" s="40">
        <f t="shared" si="22"/>
        <v>167540.69</v>
      </c>
    </row>
    <row r="45" spans="1:15" s="2" customFormat="1" ht="34.5" customHeight="1">
      <c r="A45" s="12">
        <v>6</v>
      </c>
      <c r="B45" s="12"/>
      <c r="C45" s="49" t="s">
        <v>88</v>
      </c>
      <c r="D45" s="13" t="s">
        <v>89</v>
      </c>
      <c r="E45" s="69">
        <v>2011</v>
      </c>
      <c r="F45" s="69">
        <v>2013</v>
      </c>
      <c r="G45" s="14">
        <f t="shared" si="20"/>
        <v>716844</v>
      </c>
      <c r="H45" s="9">
        <v>0</v>
      </c>
      <c r="I45" s="9">
        <f aca="true" t="shared" si="29" ref="I45:N45">I46</f>
        <v>117350.5</v>
      </c>
      <c r="J45" s="9">
        <f t="shared" si="29"/>
        <v>434053.5</v>
      </c>
      <c r="K45" s="9">
        <f t="shared" si="29"/>
        <v>165440</v>
      </c>
      <c r="L45" s="9">
        <f t="shared" si="29"/>
        <v>0</v>
      </c>
      <c r="M45" s="9">
        <f t="shared" si="29"/>
        <v>0</v>
      </c>
      <c r="N45" s="9">
        <f t="shared" si="29"/>
        <v>0</v>
      </c>
      <c r="O45" s="40">
        <f t="shared" si="22"/>
        <v>599493.5</v>
      </c>
    </row>
    <row r="46" spans="1:15" s="18" customFormat="1" ht="24" customHeight="1">
      <c r="A46" s="8"/>
      <c r="B46" s="8"/>
      <c r="C46" s="8" t="s">
        <v>70</v>
      </c>
      <c r="D46" s="15"/>
      <c r="E46" s="66"/>
      <c r="F46" s="66"/>
      <c r="G46" s="14">
        <f t="shared" si="20"/>
        <v>716844</v>
      </c>
      <c r="H46" s="9">
        <v>0</v>
      </c>
      <c r="I46" s="9">
        <f aca="true" t="shared" si="30" ref="I46:N46">I47+I48</f>
        <v>117350.5</v>
      </c>
      <c r="J46" s="9">
        <f t="shared" si="30"/>
        <v>434053.5</v>
      </c>
      <c r="K46" s="9">
        <f t="shared" si="30"/>
        <v>165440</v>
      </c>
      <c r="L46" s="9">
        <f t="shared" si="30"/>
        <v>0</v>
      </c>
      <c r="M46" s="41">
        <f t="shared" si="30"/>
        <v>0</v>
      </c>
      <c r="N46" s="41">
        <f t="shared" si="30"/>
        <v>0</v>
      </c>
      <c r="O46" s="40">
        <f t="shared" si="22"/>
        <v>599493.5</v>
      </c>
    </row>
    <row r="47" spans="1:15" s="18" customFormat="1" ht="22.5" customHeight="1">
      <c r="A47" s="12"/>
      <c r="B47" s="12"/>
      <c r="C47" s="13" t="s">
        <v>60</v>
      </c>
      <c r="D47" s="12"/>
      <c r="E47" s="69"/>
      <c r="F47" s="69"/>
      <c r="G47" s="14">
        <f t="shared" si="20"/>
        <v>107526.59999999999</v>
      </c>
      <c r="H47" s="9">
        <v>0</v>
      </c>
      <c r="I47" s="9">
        <f>33174.5-21931.77</f>
        <v>11242.73</v>
      </c>
      <c r="J47" s="9">
        <f>49536.1+21931.77</f>
        <v>71467.87</v>
      </c>
      <c r="K47" s="9">
        <v>24816</v>
      </c>
      <c r="L47" s="9">
        <v>0</v>
      </c>
      <c r="M47" s="41">
        <v>0</v>
      </c>
      <c r="N47" s="41">
        <v>0</v>
      </c>
      <c r="O47" s="40">
        <f t="shared" si="22"/>
        <v>96283.87</v>
      </c>
    </row>
    <row r="48" spans="1:15" s="18" customFormat="1" ht="22.5" customHeight="1">
      <c r="A48" s="12"/>
      <c r="B48" s="12"/>
      <c r="C48" s="13" t="s">
        <v>61</v>
      </c>
      <c r="D48" s="12"/>
      <c r="E48" s="69"/>
      <c r="F48" s="69"/>
      <c r="G48" s="14">
        <f t="shared" si="20"/>
        <v>609317.4</v>
      </c>
      <c r="H48" s="9">
        <v>0</v>
      </c>
      <c r="I48" s="9">
        <f>187994.5-81886.73</f>
        <v>106107.77</v>
      </c>
      <c r="J48" s="9">
        <f>280698.9+81886.73</f>
        <v>362585.63</v>
      </c>
      <c r="K48" s="9">
        <v>140624</v>
      </c>
      <c r="L48" s="9">
        <v>0</v>
      </c>
      <c r="M48" s="41">
        <v>0</v>
      </c>
      <c r="N48" s="41">
        <v>0</v>
      </c>
      <c r="O48" s="40">
        <f t="shared" si="22"/>
        <v>503209.63</v>
      </c>
    </row>
    <row r="49" spans="1:15" s="2" customFormat="1" ht="34.5" customHeight="1">
      <c r="A49" s="12">
        <v>7</v>
      </c>
      <c r="B49" s="12"/>
      <c r="C49" s="49" t="s">
        <v>90</v>
      </c>
      <c r="D49" s="13" t="s">
        <v>72</v>
      </c>
      <c r="E49" s="69">
        <v>2011</v>
      </c>
      <c r="F49" s="69">
        <v>2013</v>
      </c>
      <c r="G49" s="14">
        <f t="shared" si="20"/>
        <v>340692.32999999996</v>
      </c>
      <c r="H49" s="9">
        <v>0</v>
      </c>
      <c r="I49" s="9">
        <f>I50</f>
        <v>35294.28</v>
      </c>
      <c r="J49" s="9">
        <f aca="true" t="shared" si="31" ref="J49:O49">J50</f>
        <v>181838.61</v>
      </c>
      <c r="K49" s="9">
        <f t="shared" si="31"/>
        <v>123559.44</v>
      </c>
      <c r="L49" s="9">
        <f t="shared" si="31"/>
        <v>0</v>
      </c>
      <c r="M49" s="9">
        <f t="shared" si="31"/>
        <v>0</v>
      </c>
      <c r="N49" s="9">
        <f t="shared" si="31"/>
        <v>0</v>
      </c>
      <c r="O49" s="14">
        <f t="shared" si="31"/>
        <v>305398.05</v>
      </c>
    </row>
    <row r="50" spans="1:15" s="18" customFormat="1" ht="24" customHeight="1">
      <c r="A50" s="8"/>
      <c r="B50" s="8"/>
      <c r="C50" s="8" t="s">
        <v>70</v>
      </c>
      <c r="D50" s="15"/>
      <c r="E50" s="66"/>
      <c r="F50" s="66"/>
      <c r="G50" s="14">
        <f t="shared" si="20"/>
        <v>340692.32999999996</v>
      </c>
      <c r="H50" s="9">
        <v>0</v>
      </c>
      <c r="I50" s="9">
        <f aca="true" t="shared" si="32" ref="I50:N50">I51+I52</f>
        <v>35294.28</v>
      </c>
      <c r="J50" s="9">
        <f t="shared" si="32"/>
        <v>181838.61</v>
      </c>
      <c r="K50" s="9">
        <f t="shared" si="32"/>
        <v>123559.44</v>
      </c>
      <c r="L50" s="9">
        <f t="shared" si="32"/>
        <v>0</v>
      </c>
      <c r="M50" s="41">
        <f t="shared" si="32"/>
        <v>0</v>
      </c>
      <c r="N50" s="41">
        <f t="shared" si="32"/>
        <v>0</v>
      </c>
      <c r="O50" s="40">
        <f t="shared" si="22"/>
        <v>305398.05</v>
      </c>
    </row>
    <row r="51" spans="1:15" s="18" customFormat="1" ht="22.5" customHeight="1">
      <c r="A51" s="12"/>
      <c r="B51" s="12"/>
      <c r="C51" s="13" t="s">
        <v>60</v>
      </c>
      <c r="D51" s="12"/>
      <c r="E51" s="69"/>
      <c r="F51" s="69"/>
      <c r="G51" s="14">
        <f t="shared" si="20"/>
        <v>8785.76</v>
      </c>
      <c r="H51" s="9">
        <v>0</v>
      </c>
      <c r="I51" s="9">
        <f>1081.02-170.94</f>
        <v>910.0799999999999</v>
      </c>
      <c r="J51" s="9">
        <f>4518.39+170.94</f>
        <v>4689.33</v>
      </c>
      <c r="K51" s="9">
        <v>3186.35</v>
      </c>
      <c r="L51" s="9">
        <v>0</v>
      </c>
      <c r="M51" s="41">
        <v>0</v>
      </c>
      <c r="N51" s="41">
        <v>0</v>
      </c>
      <c r="O51" s="40">
        <f t="shared" si="22"/>
        <v>7875.68</v>
      </c>
    </row>
    <row r="52" spans="1:15" s="18" customFormat="1" ht="22.5" customHeight="1">
      <c r="A52" s="12"/>
      <c r="B52" s="12"/>
      <c r="C52" s="13" t="s">
        <v>61</v>
      </c>
      <c r="D52" s="12"/>
      <c r="E52" s="69"/>
      <c r="F52" s="69"/>
      <c r="G52" s="14">
        <f t="shared" si="20"/>
        <v>331906.56999999995</v>
      </c>
      <c r="H52" s="9">
        <v>0</v>
      </c>
      <c r="I52" s="9">
        <f>40838.7-6454.5</f>
        <v>34384.2</v>
      </c>
      <c r="J52" s="9">
        <f>170694.78+6454.5</f>
        <v>177149.28</v>
      </c>
      <c r="K52" s="9">
        <v>120373.09</v>
      </c>
      <c r="L52" s="9">
        <v>0</v>
      </c>
      <c r="M52" s="41">
        <v>0</v>
      </c>
      <c r="N52" s="41">
        <v>0</v>
      </c>
      <c r="O52" s="40">
        <f t="shared" si="22"/>
        <v>297522.37</v>
      </c>
    </row>
    <row r="53" spans="1:15" s="2" customFormat="1" ht="34.5" customHeight="1">
      <c r="A53" s="12">
        <v>8</v>
      </c>
      <c r="B53" s="12"/>
      <c r="C53" s="49" t="s">
        <v>91</v>
      </c>
      <c r="D53" s="13" t="s">
        <v>92</v>
      </c>
      <c r="E53" s="69">
        <v>2011</v>
      </c>
      <c r="F53" s="69">
        <v>2013</v>
      </c>
      <c r="G53" s="14">
        <f t="shared" si="20"/>
        <v>910275</v>
      </c>
      <c r="H53" s="9">
        <v>0</v>
      </c>
      <c r="I53" s="9">
        <f>I54+I57</f>
        <v>0</v>
      </c>
      <c r="J53" s="9">
        <f>J54+J57</f>
        <v>618325</v>
      </c>
      <c r="K53" s="9">
        <f>K54+K57</f>
        <v>291950</v>
      </c>
      <c r="L53" s="9">
        <v>0</v>
      </c>
      <c r="M53" s="41">
        <v>0</v>
      </c>
      <c r="N53" s="41">
        <v>0</v>
      </c>
      <c r="O53" s="40">
        <f t="shared" si="22"/>
        <v>910275</v>
      </c>
    </row>
    <row r="54" spans="1:15" s="18" customFormat="1" ht="24" customHeight="1">
      <c r="A54" s="8"/>
      <c r="B54" s="8"/>
      <c r="C54" s="8" t="s">
        <v>70</v>
      </c>
      <c r="D54" s="15"/>
      <c r="E54" s="66"/>
      <c r="F54" s="66"/>
      <c r="G54" s="14">
        <f t="shared" si="20"/>
        <v>902022.85</v>
      </c>
      <c r="H54" s="9">
        <v>0</v>
      </c>
      <c r="I54" s="9">
        <f aca="true" t="shared" si="33" ref="I54:N54">I55+I56</f>
        <v>0</v>
      </c>
      <c r="J54" s="9">
        <f t="shared" si="33"/>
        <v>610072.85</v>
      </c>
      <c r="K54" s="9">
        <f t="shared" si="33"/>
        <v>291950</v>
      </c>
      <c r="L54" s="9">
        <f t="shared" si="33"/>
        <v>0</v>
      </c>
      <c r="M54" s="41">
        <f t="shared" si="33"/>
        <v>0</v>
      </c>
      <c r="N54" s="41">
        <f t="shared" si="33"/>
        <v>0</v>
      </c>
      <c r="O54" s="40">
        <f t="shared" si="22"/>
        <v>902022.85</v>
      </c>
    </row>
    <row r="55" spans="1:15" s="18" customFormat="1" ht="22.5" customHeight="1">
      <c r="A55" s="12"/>
      <c r="B55" s="12"/>
      <c r="C55" s="13" t="s">
        <v>60</v>
      </c>
      <c r="D55" s="12"/>
      <c r="E55" s="69"/>
      <c r="F55" s="69"/>
      <c r="G55" s="14">
        <f t="shared" si="20"/>
        <v>129183.43</v>
      </c>
      <c r="H55" s="9">
        <v>0</v>
      </c>
      <c r="I55" s="9">
        <f>30942.84-30942.84</f>
        <v>0</v>
      </c>
      <c r="J55" s="9">
        <f>63682.75+30942.84</f>
        <v>94625.59</v>
      </c>
      <c r="K55" s="9">
        <v>34557.84</v>
      </c>
      <c r="L55" s="9">
        <v>0</v>
      </c>
      <c r="M55" s="41">
        <v>0</v>
      </c>
      <c r="N55" s="41">
        <v>0</v>
      </c>
      <c r="O55" s="40">
        <f t="shared" si="22"/>
        <v>129183.43</v>
      </c>
    </row>
    <row r="56" spans="1:15" s="18" customFormat="1" ht="22.5" customHeight="1">
      <c r="A56" s="12"/>
      <c r="B56" s="12"/>
      <c r="C56" s="13" t="s">
        <v>61</v>
      </c>
      <c r="D56" s="12"/>
      <c r="E56" s="69"/>
      <c r="F56" s="69"/>
      <c r="G56" s="14">
        <f t="shared" si="20"/>
        <v>772839.42</v>
      </c>
      <c r="H56" s="9">
        <v>0</v>
      </c>
      <c r="I56" s="9">
        <f>143492.16-143492.16</f>
        <v>0</v>
      </c>
      <c r="J56" s="9">
        <f>371955.1+143492.16</f>
        <v>515447.26</v>
      </c>
      <c r="K56" s="9">
        <v>257392.16</v>
      </c>
      <c r="L56" s="9">
        <v>0</v>
      </c>
      <c r="M56" s="41">
        <v>0</v>
      </c>
      <c r="N56" s="41">
        <v>0</v>
      </c>
      <c r="O56" s="40">
        <f t="shared" si="22"/>
        <v>772839.42</v>
      </c>
    </row>
    <row r="57" spans="1:15" s="18" customFormat="1" ht="24" customHeight="1">
      <c r="A57" s="8"/>
      <c r="B57" s="8"/>
      <c r="C57" s="8" t="s">
        <v>93</v>
      </c>
      <c r="D57" s="15"/>
      <c r="E57" s="66"/>
      <c r="F57" s="66"/>
      <c r="G57" s="14">
        <f t="shared" si="20"/>
        <v>8252.15</v>
      </c>
      <c r="H57" s="9">
        <v>0</v>
      </c>
      <c r="I57" s="9">
        <v>0</v>
      </c>
      <c r="J57" s="9">
        <v>8252.15</v>
      </c>
      <c r="K57" s="9">
        <v>0</v>
      </c>
      <c r="L57" s="9">
        <f>L58+L59</f>
        <v>0</v>
      </c>
      <c r="M57" s="41">
        <f>M58+M59</f>
        <v>0</v>
      </c>
      <c r="N57" s="41">
        <f>N58+N59</f>
        <v>0</v>
      </c>
      <c r="O57" s="40">
        <f t="shared" si="22"/>
        <v>8252.15</v>
      </c>
    </row>
    <row r="58" spans="1:15" s="18" customFormat="1" ht="22.5" customHeight="1">
      <c r="A58" s="12"/>
      <c r="B58" s="12"/>
      <c r="C58" s="13" t="s">
        <v>60</v>
      </c>
      <c r="D58" s="12"/>
      <c r="E58" s="69"/>
      <c r="F58" s="69"/>
      <c r="G58" s="14">
        <f t="shared" si="20"/>
        <v>1237.82</v>
      </c>
      <c r="H58" s="9">
        <v>0</v>
      </c>
      <c r="I58" s="9">
        <v>0</v>
      </c>
      <c r="J58" s="9">
        <v>1237.82</v>
      </c>
      <c r="K58" s="9">
        <v>0</v>
      </c>
      <c r="L58" s="9">
        <v>0</v>
      </c>
      <c r="M58" s="41">
        <v>0</v>
      </c>
      <c r="N58" s="41">
        <v>0</v>
      </c>
      <c r="O58" s="40">
        <f t="shared" si="22"/>
        <v>1237.82</v>
      </c>
    </row>
    <row r="59" spans="1:15" s="18" customFormat="1" ht="22.5" customHeight="1">
      <c r="A59" s="12"/>
      <c r="B59" s="12"/>
      <c r="C59" s="13" t="s">
        <v>61</v>
      </c>
      <c r="D59" s="12"/>
      <c r="E59" s="69"/>
      <c r="F59" s="69"/>
      <c r="G59" s="14">
        <f t="shared" si="20"/>
        <v>7014.33</v>
      </c>
      <c r="H59" s="9">
        <v>0</v>
      </c>
      <c r="I59" s="9">
        <v>0</v>
      </c>
      <c r="J59" s="9">
        <v>7014.33</v>
      </c>
      <c r="K59" s="9">
        <v>0</v>
      </c>
      <c r="L59" s="9">
        <v>0</v>
      </c>
      <c r="M59" s="41">
        <v>0</v>
      </c>
      <c r="N59" s="41">
        <v>0</v>
      </c>
      <c r="O59" s="40">
        <f t="shared" si="22"/>
        <v>7014.33</v>
      </c>
    </row>
    <row r="60" spans="1:15" s="81" customFormat="1" ht="24.75" customHeight="1">
      <c r="A60" s="110">
        <v>853</v>
      </c>
      <c r="B60" s="110"/>
      <c r="C60" s="24" t="s">
        <v>104</v>
      </c>
      <c r="D60" s="24"/>
      <c r="E60" s="62"/>
      <c r="F60" s="62"/>
      <c r="G60" s="25">
        <f aca="true" t="shared" si="34" ref="G60:G67">H60+I60+J60+K60+L60+M60</f>
        <v>194792.38</v>
      </c>
      <c r="H60" s="25">
        <v>0</v>
      </c>
      <c r="I60" s="25">
        <f aca="true" t="shared" si="35" ref="I60:O60">I61</f>
        <v>0</v>
      </c>
      <c r="J60" s="25">
        <f t="shared" si="35"/>
        <v>156756.84</v>
      </c>
      <c r="K60" s="25">
        <f t="shared" si="35"/>
        <v>38035.54</v>
      </c>
      <c r="L60" s="42">
        <f t="shared" si="35"/>
        <v>0</v>
      </c>
      <c r="M60" s="42">
        <f t="shared" si="35"/>
        <v>0</v>
      </c>
      <c r="N60" s="42">
        <f t="shared" si="35"/>
        <v>0</v>
      </c>
      <c r="O60" s="42">
        <f t="shared" si="35"/>
        <v>194792.38</v>
      </c>
    </row>
    <row r="61" spans="1:15" s="81" customFormat="1" ht="24.75" customHeight="1">
      <c r="A61" s="24"/>
      <c r="B61" s="24">
        <v>85333</v>
      </c>
      <c r="C61" s="24" t="s">
        <v>105</v>
      </c>
      <c r="D61" s="24"/>
      <c r="E61" s="62"/>
      <c r="F61" s="62"/>
      <c r="G61" s="25">
        <f t="shared" si="34"/>
        <v>194792.38</v>
      </c>
      <c r="H61" s="25">
        <v>0</v>
      </c>
      <c r="I61" s="25">
        <f>I62</f>
        <v>0</v>
      </c>
      <c r="J61" s="25">
        <f>J62+J63</f>
        <v>156756.84</v>
      </c>
      <c r="K61" s="25">
        <f>K62</f>
        <v>38035.54</v>
      </c>
      <c r="L61" s="42">
        <f>L62</f>
        <v>0</v>
      </c>
      <c r="M61" s="42">
        <f>M62</f>
        <v>0</v>
      </c>
      <c r="N61" s="42">
        <f>N62</f>
        <v>0</v>
      </c>
      <c r="O61" s="42">
        <f>O62+O63</f>
        <v>194792.38</v>
      </c>
    </row>
    <row r="62" spans="1:15" s="75" customFormat="1" ht="24.75" customHeight="1">
      <c r="A62" s="12"/>
      <c r="B62" s="12"/>
      <c r="C62" s="48" t="s">
        <v>38</v>
      </c>
      <c r="D62" s="12"/>
      <c r="E62" s="69"/>
      <c r="F62" s="69"/>
      <c r="G62" s="40">
        <f t="shared" si="34"/>
        <v>194792.38</v>
      </c>
      <c r="H62" s="41">
        <v>0</v>
      </c>
      <c r="I62" s="41">
        <v>0</v>
      </c>
      <c r="J62" s="41">
        <f>J64</f>
        <v>156756.84</v>
      </c>
      <c r="K62" s="41">
        <f>K64</f>
        <v>38035.54</v>
      </c>
      <c r="L62" s="41">
        <f>L64</f>
        <v>0</v>
      </c>
      <c r="M62" s="41">
        <f>M64</f>
        <v>0</v>
      </c>
      <c r="N62" s="41">
        <f>N64</f>
        <v>0</v>
      </c>
      <c r="O62" s="40">
        <f aca="true" t="shared" si="36" ref="O62:O67">J62+K62+L62+M62+N62</f>
        <v>194792.38</v>
      </c>
    </row>
    <row r="63" spans="1:15" s="75" customFormat="1" ht="24.75" customHeight="1">
      <c r="A63" s="12"/>
      <c r="B63" s="12"/>
      <c r="C63" s="48" t="s">
        <v>39</v>
      </c>
      <c r="D63" s="12"/>
      <c r="E63" s="69"/>
      <c r="F63" s="69"/>
      <c r="G63" s="40">
        <f t="shared" si="34"/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0">
        <f t="shared" si="36"/>
        <v>0</v>
      </c>
    </row>
    <row r="64" spans="1:15" s="82" customFormat="1" ht="30" customHeight="1">
      <c r="A64" s="12">
        <v>9</v>
      </c>
      <c r="B64" s="12"/>
      <c r="C64" s="49" t="s">
        <v>106</v>
      </c>
      <c r="D64" s="13" t="s">
        <v>107</v>
      </c>
      <c r="E64" s="69">
        <v>2012</v>
      </c>
      <c r="F64" s="69">
        <v>2013</v>
      </c>
      <c r="G64" s="14">
        <f t="shared" si="34"/>
        <v>194792.38</v>
      </c>
      <c r="H64" s="9">
        <v>0</v>
      </c>
      <c r="I64" s="9">
        <v>0</v>
      </c>
      <c r="J64" s="9">
        <f>J65</f>
        <v>156756.84</v>
      </c>
      <c r="K64" s="9">
        <f>K65</f>
        <v>38035.54</v>
      </c>
      <c r="L64" s="9">
        <f>L68</f>
        <v>0</v>
      </c>
      <c r="M64" s="9">
        <f>M68</f>
        <v>0</v>
      </c>
      <c r="N64" s="9">
        <f>N68</f>
        <v>0</v>
      </c>
      <c r="O64" s="40">
        <f t="shared" si="36"/>
        <v>194792.38</v>
      </c>
    </row>
    <row r="65" spans="1:15" s="75" customFormat="1" ht="24" customHeight="1">
      <c r="A65" s="8"/>
      <c r="B65" s="8"/>
      <c r="C65" s="8" t="s">
        <v>70</v>
      </c>
      <c r="D65" s="15"/>
      <c r="E65" s="66"/>
      <c r="F65" s="66"/>
      <c r="G65" s="14">
        <f t="shared" si="34"/>
        <v>194792.38</v>
      </c>
      <c r="H65" s="9">
        <v>0</v>
      </c>
      <c r="I65" s="9">
        <f aca="true" t="shared" si="37" ref="I65:N65">I66+I67</f>
        <v>0</v>
      </c>
      <c r="J65" s="9">
        <f t="shared" si="37"/>
        <v>156756.84</v>
      </c>
      <c r="K65" s="9">
        <f t="shared" si="37"/>
        <v>38035.54</v>
      </c>
      <c r="L65" s="9">
        <f t="shared" si="37"/>
        <v>0</v>
      </c>
      <c r="M65" s="41">
        <f t="shared" si="37"/>
        <v>0</v>
      </c>
      <c r="N65" s="41">
        <f t="shared" si="37"/>
        <v>0</v>
      </c>
      <c r="O65" s="40">
        <f t="shared" si="36"/>
        <v>194792.38</v>
      </c>
    </row>
    <row r="66" spans="1:15" s="75" customFormat="1" ht="22.5" customHeight="1">
      <c r="A66" s="12"/>
      <c r="B66" s="12"/>
      <c r="C66" s="13" t="s">
        <v>60</v>
      </c>
      <c r="D66" s="12"/>
      <c r="E66" s="69"/>
      <c r="F66" s="69"/>
      <c r="G66" s="14">
        <f t="shared" si="34"/>
        <v>29218.86</v>
      </c>
      <c r="H66" s="9">
        <v>0</v>
      </c>
      <c r="I66" s="9">
        <v>0</v>
      </c>
      <c r="J66" s="9">
        <v>23513.53</v>
      </c>
      <c r="K66" s="9">
        <v>5705.33</v>
      </c>
      <c r="L66" s="9">
        <v>0</v>
      </c>
      <c r="M66" s="41">
        <v>0</v>
      </c>
      <c r="N66" s="41">
        <v>0</v>
      </c>
      <c r="O66" s="40">
        <f t="shared" si="36"/>
        <v>29218.86</v>
      </c>
    </row>
    <row r="67" spans="1:15" s="75" customFormat="1" ht="22.5" customHeight="1">
      <c r="A67" s="12"/>
      <c r="B67" s="12"/>
      <c r="C67" s="13" t="s">
        <v>61</v>
      </c>
      <c r="D67" s="12"/>
      <c r="E67" s="69"/>
      <c r="F67" s="69"/>
      <c r="G67" s="14">
        <f t="shared" si="34"/>
        <v>165573.52</v>
      </c>
      <c r="H67" s="9">
        <v>0</v>
      </c>
      <c r="I67" s="9">
        <v>0</v>
      </c>
      <c r="J67" s="9">
        <v>133243.31</v>
      </c>
      <c r="K67" s="9">
        <v>32330.21</v>
      </c>
      <c r="L67" s="9">
        <v>0</v>
      </c>
      <c r="M67" s="41">
        <v>0</v>
      </c>
      <c r="N67" s="41">
        <v>0</v>
      </c>
      <c r="O67" s="40">
        <f t="shared" si="36"/>
        <v>165573.52</v>
      </c>
    </row>
    <row r="68" spans="1:15" s="26" customFormat="1" ht="24.75" customHeight="1">
      <c r="A68" s="110">
        <v>921</v>
      </c>
      <c r="B68" s="110"/>
      <c r="C68" s="24" t="s">
        <v>19</v>
      </c>
      <c r="D68" s="24"/>
      <c r="E68" s="62"/>
      <c r="F68" s="62"/>
      <c r="G68" s="25">
        <f t="shared" si="20"/>
        <v>16856004.700000003</v>
      </c>
      <c r="H68" s="25">
        <f>H69</f>
        <v>48190</v>
      </c>
      <c r="I68" s="25">
        <f aca="true" t="shared" si="38" ref="I68:O69">I69</f>
        <v>36900</v>
      </c>
      <c r="J68" s="25">
        <f t="shared" si="38"/>
        <v>7259583</v>
      </c>
      <c r="K68" s="25">
        <f t="shared" si="38"/>
        <v>9511331.700000001</v>
      </c>
      <c r="L68" s="42">
        <f t="shared" si="38"/>
        <v>0</v>
      </c>
      <c r="M68" s="42">
        <f t="shared" si="38"/>
        <v>0</v>
      </c>
      <c r="N68" s="42">
        <f t="shared" si="38"/>
        <v>0</v>
      </c>
      <c r="O68" s="42">
        <f t="shared" si="38"/>
        <v>16770914.700000001</v>
      </c>
    </row>
    <row r="69" spans="1:15" s="26" customFormat="1" ht="24.75" customHeight="1">
      <c r="A69" s="24"/>
      <c r="B69" s="24">
        <v>92120</v>
      </c>
      <c r="C69" s="24" t="s">
        <v>27</v>
      </c>
      <c r="D69" s="24"/>
      <c r="E69" s="62"/>
      <c r="F69" s="62"/>
      <c r="G69" s="25">
        <f t="shared" si="20"/>
        <v>16856004.700000003</v>
      </c>
      <c r="H69" s="25">
        <f>H70</f>
        <v>48190</v>
      </c>
      <c r="I69" s="25">
        <f t="shared" si="38"/>
        <v>36900</v>
      </c>
      <c r="J69" s="25">
        <f t="shared" si="38"/>
        <v>7259583</v>
      </c>
      <c r="K69" s="25">
        <f t="shared" si="38"/>
        <v>9511331.700000001</v>
      </c>
      <c r="L69" s="42">
        <f t="shared" si="38"/>
        <v>0</v>
      </c>
      <c r="M69" s="42">
        <f t="shared" si="38"/>
        <v>0</v>
      </c>
      <c r="N69" s="42">
        <f t="shared" si="38"/>
        <v>0</v>
      </c>
      <c r="O69" s="42">
        <f t="shared" si="38"/>
        <v>16770914.700000001</v>
      </c>
    </row>
    <row r="70" spans="1:15" s="56" customFormat="1" ht="24.75" customHeight="1">
      <c r="A70" s="55"/>
      <c r="B70" s="55"/>
      <c r="C70" s="55" t="str">
        <f>C72</f>
        <v>- wydatki majątkowe</v>
      </c>
      <c r="D70" s="55"/>
      <c r="E70" s="69"/>
      <c r="F70" s="69"/>
      <c r="G70" s="40">
        <f t="shared" si="20"/>
        <v>16856004.700000003</v>
      </c>
      <c r="H70" s="41">
        <f>H71</f>
        <v>48190</v>
      </c>
      <c r="I70" s="41">
        <f aca="true" t="shared" si="39" ref="I70:N70">I73+I74</f>
        <v>36900</v>
      </c>
      <c r="J70" s="41">
        <f t="shared" si="39"/>
        <v>7259583</v>
      </c>
      <c r="K70" s="41">
        <f t="shared" si="39"/>
        <v>9511331.700000001</v>
      </c>
      <c r="L70" s="41">
        <f t="shared" si="39"/>
        <v>0</v>
      </c>
      <c r="M70" s="41">
        <f t="shared" si="39"/>
        <v>0</v>
      </c>
      <c r="N70" s="41">
        <f t="shared" si="39"/>
        <v>0</v>
      </c>
      <c r="O70" s="40">
        <f>J70+K70+L70+M70+N70</f>
        <v>16770914.700000001</v>
      </c>
    </row>
    <row r="71" spans="1:15" s="82" customFormat="1" ht="52.5" customHeight="1">
      <c r="A71" s="12">
        <v>10</v>
      </c>
      <c r="B71" s="12"/>
      <c r="C71" s="57" t="s">
        <v>65</v>
      </c>
      <c r="D71" s="13" t="s">
        <v>35</v>
      </c>
      <c r="E71" s="69">
        <v>2010</v>
      </c>
      <c r="F71" s="69">
        <v>2013</v>
      </c>
      <c r="G71" s="40">
        <v>16856004.7</v>
      </c>
      <c r="H71" s="41">
        <v>48190</v>
      </c>
      <c r="I71" s="41">
        <v>36900</v>
      </c>
      <c r="J71" s="41">
        <v>7259583</v>
      </c>
      <c r="K71" s="41">
        <v>9511331.7</v>
      </c>
      <c r="L71" s="9">
        <f>L72</f>
        <v>0</v>
      </c>
      <c r="M71" s="41">
        <f>M72</f>
        <v>0</v>
      </c>
      <c r="N71" s="41">
        <f>N72</f>
        <v>0</v>
      </c>
      <c r="O71" s="40">
        <f>J71+K71+L71+M71+N71</f>
        <v>16770914.7</v>
      </c>
    </row>
    <row r="72" spans="1:15" s="75" customFormat="1" ht="24" customHeight="1">
      <c r="A72" s="8"/>
      <c r="B72" s="8"/>
      <c r="C72" s="8" t="s">
        <v>1</v>
      </c>
      <c r="D72" s="15"/>
      <c r="E72" s="66"/>
      <c r="F72" s="66"/>
      <c r="G72" s="14">
        <f>H72+I72+J72+K72+L72+M72</f>
        <v>16856004.700000003</v>
      </c>
      <c r="H72" s="9">
        <v>48190</v>
      </c>
      <c r="I72" s="9">
        <f aca="true" t="shared" si="40" ref="I72:N72">I73+I74</f>
        <v>36900</v>
      </c>
      <c r="J72" s="9">
        <f t="shared" si="40"/>
        <v>7259583</v>
      </c>
      <c r="K72" s="9">
        <f t="shared" si="40"/>
        <v>9511331.700000001</v>
      </c>
      <c r="L72" s="9">
        <f t="shared" si="40"/>
        <v>0</v>
      </c>
      <c r="M72" s="41">
        <f t="shared" si="40"/>
        <v>0</v>
      </c>
      <c r="N72" s="41">
        <f t="shared" si="40"/>
        <v>0</v>
      </c>
      <c r="O72" s="40">
        <f>J72+K72+L72+M72+N72</f>
        <v>16770914.700000001</v>
      </c>
    </row>
    <row r="73" spans="1:15" s="75" customFormat="1" ht="22.5" customHeight="1">
      <c r="A73" s="12"/>
      <c r="B73" s="12"/>
      <c r="C73" s="13" t="s">
        <v>60</v>
      </c>
      <c r="D73" s="12"/>
      <c r="E73" s="69"/>
      <c r="F73" s="69"/>
      <c r="G73" s="14">
        <f>H73+I73+J73+K73+L73+M73</f>
        <v>3103425.71</v>
      </c>
      <c r="H73" s="9">
        <v>7228.5</v>
      </c>
      <c r="I73" s="9">
        <v>5535</v>
      </c>
      <c r="J73" s="9">
        <v>1559412.45</v>
      </c>
      <c r="K73" s="9">
        <v>1531249.76</v>
      </c>
      <c r="L73" s="9">
        <v>0</v>
      </c>
      <c r="M73" s="41">
        <v>0</v>
      </c>
      <c r="N73" s="41">
        <v>0</v>
      </c>
      <c r="O73" s="40">
        <f>J73+K73+L73+M73+N73</f>
        <v>3090662.21</v>
      </c>
    </row>
    <row r="74" spans="1:15" s="75" customFormat="1" ht="22.5" customHeight="1">
      <c r="A74" s="12"/>
      <c r="B74" s="12"/>
      <c r="C74" s="13" t="s">
        <v>61</v>
      </c>
      <c r="D74" s="12"/>
      <c r="E74" s="69"/>
      <c r="F74" s="69"/>
      <c r="G74" s="14">
        <f>H74+I74+J74+K74+L74+M74</f>
        <v>13752578.99</v>
      </c>
      <c r="H74" s="9">
        <v>40961.5</v>
      </c>
      <c r="I74" s="9">
        <v>31365</v>
      </c>
      <c r="J74" s="9">
        <v>5700170.55</v>
      </c>
      <c r="K74" s="9">
        <v>7980081.94</v>
      </c>
      <c r="L74" s="9">
        <v>0</v>
      </c>
      <c r="M74" s="41">
        <v>0</v>
      </c>
      <c r="N74" s="41">
        <v>0</v>
      </c>
      <c r="O74" s="40">
        <f>J74+K74+L74+M74+N74</f>
        <v>13680252.49</v>
      </c>
    </row>
    <row r="75" spans="1:15" s="33" customFormat="1" ht="31.5" customHeight="1">
      <c r="A75" s="107" t="s">
        <v>41</v>
      </c>
      <c r="B75" s="108"/>
      <c r="C75" s="109"/>
      <c r="D75" s="19"/>
      <c r="E75" s="67"/>
      <c r="F75" s="67"/>
      <c r="G75" s="23">
        <f>H75+I75+J75+K75+L75+M75+N75</f>
        <v>266829234.97999996</v>
      </c>
      <c r="H75" s="23">
        <f>H77+H76</f>
        <v>2029186.7899999996</v>
      </c>
      <c r="I75" s="23">
        <f aca="true" t="shared" si="41" ref="I75:N75">I76+I77</f>
        <v>3153714.64</v>
      </c>
      <c r="J75" s="23">
        <f t="shared" si="41"/>
        <v>21158616.32</v>
      </c>
      <c r="K75" s="23">
        <f t="shared" si="41"/>
        <v>69956006.86999999</v>
      </c>
      <c r="L75" s="23">
        <f t="shared" si="41"/>
        <v>70239275.84</v>
      </c>
      <c r="M75" s="38">
        <f t="shared" si="41"/>
        <v>80292434.52</v>
      </c>
      <c r="N75" s="38">
        <f t="shared" si="41"/>
        <v>20000000</v>
      </c>
      <c r="O75" s="38">
        <f>O76+O77</f>
        <v>261646333.55</v>
      </c>
    </row>
    <row r="76" spans="1:15" s="34" customFormat="1" ht="21" customHeight="1">
      <c r="A76" s="104" t="s">
        <v>38</v>
      </c>
      <c r="B76" s="105"/>
      <c r="C76" s="106"/>
      <c r="D76" s="21"/>
      <c r="E76" s="68"/>
      <c r="F76" s="68"/>
      <c r="G76" s="23">
        <f aca="true" t="shared" si="42" ref="G76:G88">H76+I76+J76+K76+L76+M76</f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39">
        <v>0</v>
      </c>
      <c r="N76" s="39">
        <v>0</v>
      </c>
      <c r="O76" s="39">
        <v>0</v>
      </c>
    </row>
    <row r="77" spans="1:15" s="34" customFormat="1" ht="21" customHeight="1">
      <c r="A77" s="104" t="s">
        <v>39</v>
      </c>
      <c r="B77" s="105"/>
      <c r="C77" s="106"/>
      <c r="D77" s="21"/>
      <c r="E77" s="68"/>
      <c r="F77" s="68"/>
      <c r="G77" s="23">
        <f>H77+I77+J77+K77+L77+M77+N77</f>
        <v>266829234.97999996</v>
      </c>
      <c r="H77" s="20">
        <f aca="true" t="shared" si="43" ref="H77:O77">H78+H104+H108+H113+H116+H121+H126</f>
        <v>2029186.7899999996</v>
      </c>
      <c r="I77" s="20">
        <f t="shared" si="43"/>
        <v>3153714.64</v>
      </c>
      <c r="J77" s="20">
        <f t="shared" si="43"/>
        <v>21158616.32</v>
      </c>
      <c r="K77" s="20">
        <f t="shared" si="43"/>
        <v>69956006.86999999</v>
      </c>
      <c r="L77" s="20">
        <f t="shared" si="43"/>
        <v>70239275.84</v>
      </c>
      <c r="M77" s="20">
        <f t="shared" si="43"/>
        <v>80292434.52</v>
      </c>
      <c r="N77" s="20">
        <f t="shared" si="43"/>
        <v>20000000</v>
      </c>
      <c r="O77" s="20">
        <f t="shared" si="43"/>
        <v>261646333.55</v>
      </c>
    </row>
    <row r="78" spans="1:15" s="35" customFormat="1" ht="19.5" customHeight="1">
      <c r="A78" s="101">
        <v>600</v>
      </c>
      <c r="B78" s="102"/>
      <c r="C78" s="24" t="s">
        <v>22</v>
      </c>
      <c r="D78" s="24"/>
      <c r="E78" s="62"/>
      <c r="F78" s="62"/>
      <c r="G78" s="25">
        <f>H78+I78+J78+K78+L78+M78</f>
        <v>160738187.76</v>
      </c>
      <c r="H78" s="25">
        <f>H79+H91</f>
        <v>362039.35999999964</v>
      </c>
      <c r="I78" s="25">
        <f aca="true" t="shared" si="44" ref="I78:N78">I79+I91</f>
        <v>1750492.22</v>
      </c>
      <c r="J78" s="25">
        <f t="shared" si="44"/>
        <v>17643492.32</v>
      </c>
      <c r="K78" s="25">
        <f t="shared" si="44"/>
        <v>35302161.1</v>
      </c>
      <c r="L78" s="42">
        <f t="shared" si="44"/>
        <v>53859275.84</v>
      </c>
      <c r="M78" s="42">
        <f t="shared" si="44"/>
        <v>51820726.92</v>
      </c>
      <c r="N78" s="42">
        <f t="shared" si="44"/>
        <v>14000000</v>
      </c>
      <c r="O78" s="42">
        <f>J78+K78+L78+M78+N78</f>
        <v>172625656.18</v>
      </c>
    </row>
    <row r="79" spans="1:15" s="3" customFormat="1" ht="22.5" customHeight="1">
      <c r="A79" s="16"/>
      <c r="B79" s="7">
        <v>60015</v>
      </c>
      <c r="C79" s="7" t="s">
        <v>24</v>
      </c>
      <c r="D79" s="7"/>
      <c r="E79" s="65"/>
      <c r="F79" s="65"/>
      <c r="G79" s="14">
        <f>H79+I79+J79+K79+L79+M79</f>
        <v>119963497.82</v>
      </c>
      <c r="H79" s="14">
        <f>H80+H81+H82+H83+H84+H85+H86+H87+H88+H89+H90</f>
        <v>320095.75999999966</v>
      </c>
      <c r="I79" s="14">
        <f aca="true" t="shared" si="45" ref="I79:O79">I80+I81+I82+I83+I84+I85+I86+I87+I88+I89+I90</f>
        <v>931419.93</v>
      </c>
      <c r="J79" s="14">
        <f t="shared" si="45"/>
        <v>16080261.32</v>
      </c>
      <c r="K79" s="14">
        <f t="shared" si="45"/>
        <v>27762161.1</v>
      </c>
      <c r="L79" s="14">
        <f t="shared" si="45"/>
        <v>38019275.84</v>
      </c>
      <c r="M79" s="14">
        <f t="shared" si="45"/>
        <v>36850283.87</v>
      </c>
      <c r="N79" s="14">
        <f t="shared" si="45"/>
        <v>0</v>
      </c>
      <c r="O79" s="14">
        <f t="shared" si="45"/>
        <v>118711982.13</v>
      </c>
    </row>
    <row r="80" spans="1:15" s="18" customFormat="1" ht="35.25" customHeight="1">
      <c r="A80" s="8">
        <v>1</v>
      </c>
      <c r="B80" s="8"/>
      <c r="C80" s="15" t="s">
        <v>33</v>
      </c>
      <c r="D80" s="15" t="s">
        <v>35</v>
      </c>
      <c r="E80" s="66">
        <v>2010</v>
      </c>
      <c r="F80" s="66">
        <v>2015</v>
      </c>
      <c r="G80" s="14">
        <f t="shared" si="42"/>
        <v>48388046.91</v>
      </c>
      <c r="H80" s="9">
        <f>4281523.55-4203535.66</f>
        <v>77987.88999999966</v>
      </c>
      <c r="I80" s="9">
        <f>6500000-6000000-0.85-298427</f>
        <v>201572.15000000002</v>
      </c>
      <c r="J80" s="9">
        <f>500000+267632</f>
        <v>767632</v>
      </c>
      <c r="K80" s="9">
        <f>4722012.11+1588197.99</f>
        <v>6310210.100000001</v>
      </c>
      <c r="L80" s="9">
        <f>15800000+4170165.21</f>
        <v>19970165.21</v>
      </c>
      <c r="M80" s="9">
        <f>14196464.34+0.85+6864014.37</f>
        <v>21060479.56</v>
      </c>
      <c r="N80" s="9">
        <v>0</v>
      </c>
      <c r="O80" s="14">
        <f>J80+K80+L80+M80+N80</f>
        <v>48108486.870000005</v>
      </c>
    </row>
    <row r="81" spans="1:15" s="75" customFormat="1" ht="36.75" customHeight="1">
      <c r="A81" s="8">
        <v>2</v>
      </c>
      <c r="B81" s="8"/>
      <c r="C81" s="15" t="s">
        <v>20</v>
      </c>
      <c r="D81" s="15" t="s">
        <v>35</v>
      </c>
      <c r="E81" s="66">
        <v>2008</v>
      </c>
      <c r="F81" s="66">
        <v>2012</v>
      </c>
      <c r="G81" s="14">
        <f t="shared" si="42"/>
        <v>4759298.91</v>
      </c>
      <c r="H81" s="9">
        <v>14299.59</v>
      </c>
      <c r="I81" s="9">
        <v>0</v>
      </c>
      <c r="J81" s="9">
        <f>6900460.41-163011.09-1992450</f>
        <v>4744999.32</v>
      </c>
      <c r="K81" s="9">
        <v>0</v>
      </c>
      <c r="L81" s="9">
        <v>0</v>
      </c>
      <c r="M81" s="9">
        <v>0</v>
      </c>
      <c r="N81" s="9">
        <v>0</v>
      </c>
      <c r="O81" s="14">
        <f aca="true" t="shared" si="46" ref="O81:O88">J81+K81+L81+M81+N81</f>
        <v>4744999.32</v>
      </c>
    </row>
    <row r="82" spans="1:15" s="56" customFormat="1" ht="25.5" customHeight="1">
      <c r="A82" s="55">
        <v>3</v>
      </c>
      <c r="B82" s="55"/>
      <c r="C82" s="54" t="s">
        <v>97</v>
      </c>
      <c r="D82" s="54" t="s">
        <v>35</v>
      </c>
      <c r="E82" s="70">
        <v>2011</v>
      </c>
      <c r="F82" s="69">
        <v>2013</v>
      </c>
      <c r="G82" s="40">
        <f t="shared" si="42"/>
        <v>16000000</v>
      </c>
      <c r="H82" s="41">
        <v>0</v>
      </c>
      <c r="I82" s="41">
        <v>0</v>
      </c>
      <c r="J82" s="41">
        <v>5500000</v>
      </c>
      <c r="K82" s="41">
        <v>10500000</v>
      </c>
      <c r="L82" s="41">
        <v>0</v>
      </c>
      <c r="M82" s="41">
        <v>0</v>
      </c>
      <c r="N82" s="41">
        <v>0</v>
      </c>
      <c r="O82" s="40">
        <f t="shared" si="46"/>
        <v>16000000</v>
      </c>
    </row>
    <row r="83" spans="1:15" s="18" customFormat="1" ht="38.25" customHeight="1">
      <c r="A83" s="8">
        <v>4</v>
      </c>
      <c r="B83" s="8"/>
      <c r="C83" s="15" t="s">
        <v>99</v>
      </c>
      <c r="D83" s="15" t="s">
        <v>35</v>
      </c>
      <c r="E83" s="76">
        <v>2011</v>
      </c>
      <c r="F83" s="66">
        <v>2015</v>
      </c>
      <c r="G83" s="14">
        <f t="shared" si="42"/>
        <v>24273137</v>
      </c>
      <c r="H83" s="9">
        <v>0</v>
      </c>
      <c r="I83" s="9">
        <f>500000-71665.63</f>
        <v>428334.37</v>
      </c>
      <c r="J83" s="9">
        <f>2500000-2500000</f>
        <v>0</v>
      </c>
      <c r="K83" s="9">
        <v>0</v>
      </c>
      <c r="L83" s="9">
        <f>11773137+71665.63</f>
        <v>11844802.63</v>
      </c>
      <c r="M83" s="9">
        <v>12000000</v>
      </c>
      <c r="N83" s="9">
        <v>0</v>
      </c>
      <c r="O83" s="14">
        <f t="shared" si="46"/>
        <v>23844802.630000003</v>
      </c>
    </row>
    <row r="84" spans="1:15" s="75" customFormat="1" ht="38.25" customHeight="1">
      <c r="A84" s="8">
        <v>5</v>
      </c>
      <c r="B84" s="8"/>
      <c r="C84" s="15" t="s">
        <v>83</v>
      </c>
      <c r="D84" s="15" t="s">
        <v>35</v>
      </c>
      <c r="E84" s="76">
        <v>2010</v>
      </c>
      <c r="F84" s="66">
        <v>2012</v>
      </c>
      <c r="G84" s="14">
        <f t="shared" si="42"/>
        <v>4426662.73</v>
      </c>
      <c r="H84" s="9">
        <v>29280</v>
      </c>
      <c r="I84" s="9">
        <f>115000-4867.27</f>
        <v>110132.73</v>
      </c>
      <c r="J84" s="9">
        <f>4000000+287250</f>
        <v>4287250</v>
      </c>
      <c r="K84" s="9">
        <f>355720-355720</f>
        <v>0</v>
      </c>
      <c r="L84" s="9">
        <v>0</v>
      </c>
      <c r="M84" s="9">
        <v>0</v>
      </c>
      <c r="N84" s="9">
        <v>0</v>
      </c>
      <c r="O84" s="14">
        <f t="shared" si="46"/>
        <v>4287250</v>
      </c>
    </row>
    <row r="85" spans="1:15" s="75" customFormat="1" ht="37.5" customHeight="1">
      <c r="A85" s="8">
        <v>6</v>
      </c>
      <c r="B85" s="8"/>
      <c r="C85" s="15" t="s">
        <v>15</v>
      </c>
      <c r="D85" s="15" t="s">
        <v>35</v>
      </c>
      <c r="E85" s="66">
        <v>2010</v>
      </c>
      <c r="F85" s="66">
        <v>2013</v>
      </c>
      <c r="G85" s="14">
        <f t="shared" si="42"/>
        <v>950000</v>
      </c>
      <c r="H85" s="9">
        <v>16470</v>
      </c>
      <c r="I85" s="9">
        <f>100000-95000-5000</f>
        <v>0</v>
      </c>
      <c r="J85" s="9">
        <v>50000</v>
      </c>
      <c r="K85" s="9">
        <f>878530+5000</f>
        <v>883530</v>
      </c>
      <c r="L85" s="9">
        <v>0</v>
      </c>
      <c r="M85" s="9">
        <v>0</v>
      </c>
      <c r="N85" s="9">
        <v>0</v>
      </c>
      <c r="O85" s="14">
        <f t="shared" si="46"/>
        <v>933530</v>
      </c>
    </row>
    <row r="86" spans="1:15" s="75" customFormat="1" ht="28.5" customHeight="1">
      <c r="A86" s="8">
        <v>7</v>
      </c>
      <c r="B86" s="8"/>
      <c r="C86" s="15" t="s">
        <v>68</v>
      </c>
      <c r="D86" s="15" t="s">
        <v>35</v>
      </c>
      <c r="E86" s="66">
        <v>2010</v>
      </c>
      <c r="F86" s="66">
        <v>2015</v>
      </c>
      <c r="G86" s="14">
        <f t="shared" si="42"/>
        <v>4016352.27</v>
      </c>
      <c r="H86" s="9">
        <v>182058.28</v>
      </c>
      <c r="I86" s="9">
        <v>26068.68</v>
      </c>
      <c r="J86" s="9">
        <f>3421+15000</f>
        <v>18421</v>
      </c>
      <c r="K86" s="9">
        <v>0</v>
      </c>
      <c r="L86" s="9">
        <f>9600000-9600000</f>
        <v>0</v>
      </c>
      <c r="M86" s="9">
        <f>6830602.88-3421-3022377.57-15000</f>
        <v>3789804.31</v>
      </c>
      <c r="N86" s="9">
        <v>0</v>
      </c>
      <c r="O86" s="14">
        <f t="shared" si="46"/>
        <v>3808225.31</v>
      </c>
    </row>
    <row r="87" spans="1:15" s="18" customFormat="1" ht="28.5" customHeight="1">
      <c r="A87" s="83">
        <v>8</v>
      </c>
      <c r="B87" s="83"/>
      <c r="C87" s="84" t="s">
        <v>77</v>
      </c>
      <c r="D87" s="15" t="s">
        <v>35</v>
      </c>
      <c r="E87" s="85">
        <v>2012</v>
      </c>
      <c r="F87" s="85">
        <v>2013</v>
      </c>
      <c r="G87" s="14">
        <f t="shared" si="42"/>
        <v>3000000</v>
      </c>
      <c r="H87" s="86">
        <v>0</v>
      </c>
      <c r="I87" s="86">
        <v>0</v>
      </c>
      <c r="J87" s="86">
        <f>70000-3421-15000</f>
        <v>51579</v>
      </c>
      <c r="K87" s="86">
        <f>2930000+3421+15000</f>
        <v>2948421</v>
      </c>
      <c r="L87" s="86">
        <v>0</v>
      </c>
      <c r="M87" s="86">
        <v>0</v>
      </c>
      <c r="N87" s="86">
        <v>0</v>
      </c>
      <c r="O87" s="14">
        <f t="shared" si="46"/>
        <v>3000000</v>
      </c>
    </row>
    <row r="88" spans="1:15" s="56" customFormat="1" ht="28.5" customHeight="1">
      <c r="A88" s="52">
        <v>9</v>
      </c>
      <c r="B88" s="52"/>
      <c r="C88" s="51" t="s">
        <v>84</v>
      </c>
      <c r="D88" s="54" t="s">
        <v>35</v>
      </c>
      <c r="E88" s="71">
        <v>2012</v>
      </c>
      <c r="F88" s="71">
        <v>2013</v>
      </c>
      <c r="G88" s="40">
        <f t="shared" si="42"/>
        <v>150000</v>
      </c>
      <c r="H88" s="53">
        <v>0</v>
      </c>
      <c r="I88" s="53">
        <v>0</v>
      </c>
      <c r="J88" s="53">
        <v>20000</v>
      </c>
      <c r="K88" s="53">
        <v>130000</v>
      </c>
      <c r="L88" s="53">
        <v>0</v>
      </c>
      <c r="M88" s="53">
        <v>0</v>
      </c>
      <c r="N88" s="53">
        <v>0</v>
      </c>
      <c r="O88" s="40">
        <f t="shared" si="46"/>
        <v>150000</v>
      </c>
    </row>
    <row r="89" spans="1:15" s="18" customFormat="1" ht="28.5" customHeight="1">
      <c r="A89" s="83">
        <v>10</v>
      </c>
      <c r="B89" s="83"/>
      <c r="C89" s="84" t="s">
        <v>108</v>
      </c>
      <c r="D89" s="15" t="s">
        <v>35</v>
      </c>
      <c r="E89" s="85">
        <v>2012</v>
      </c>
      <c r="F89" s="85">
        <v>2013</v>
      </c>
      <c r="G89" s="14">
        <f>H89+I89+J89+K89+L89+M89</f>
        <v>2000000</v>
      </c>
      <c r="H89" s="86">
        <v>0</v>
      </c>
      <c r="I89" s="86">
        <v>0</v>
      </c>
      <c r="J89" s="86">
        <v>10000</v>
      </c>
      <c r="K89" s="86">
        <v>1990000</v>
      </c>
      <c r="L89" s="86">
        <v>0</v>
      </c>
      <c r="M89" s="86">
        <v>0</v>
      </c>
      <c r="N89" s="86">
        <v>0</v>
      </c>
      <c r="O89" s="14">
        <f>J89+K89+L89+M89+N89</f>
        <v>2000000</v>
      </c>
    </row>
    <row r="90" spans="1:15" s="18" customFormat="1" ht="28.5" customHeight="1">
      <c r="A90" s="8">
        <v>11</v>
      </c>
      <c r="B90" s="8"/>
      <c r="C90" s="8" t="s">
        <v>16</v>
      </c>
      <c r="D90" s="15" t="s">
        <v>35</v>
      </c>
      <c r="E90" s="66">
        <v>2010</v>
      </c>
      <c r="F90" s="66">
        <v>2014</v>
      </c>
      <c r="G90" s="14">
        <f>H90+I90+J90+K90+L90+M90</f>
        <v>12000000</v>
      </c>
      <c r="H90" s="9">
        <v>0</v>
      </c>
      <c r="I90" s="9">
        <f>500000-200000-4308-130380</f>
        <v>165312</v>
      </c>
      <c r="J90" s="9">
        <f>500000+130380</f>
        <v>630380</v>
      </c>
      <c r="K90" s="9">
        <v>5000000</v>
      </c>
      <c r="L90" s="9">
        <f>6200000+4308</f>
        <v>6204308</v>
      </c>
      <c r="M90" s="9">
        <v>0</v>
      </c>
      <c r="N90" s="9">
        <v>0</v>
      </c>
      <c r="O90" s="14">
        <f>J90+K90+L90+M90+N90</f>
        <v>11834688</v>
      </c>
    </row>
    <row r="91" spans="1:15" s="60" customFormat="1" ht="31.5" customHeight="1">
      <c r="A91" s="52"/>
      <c r="B91" s="59">
        <v>60016</v>
      </c>
      <c r="C91" s="59" t="s">
        <v>23</v>
      </c>
      <c r="D91" s="59"/>
      <c r="E91" s="72"/>
      <c r="F91" s="72"/>
      <c r="G91" s="58">
        <f>G92+G93+G94+G95+G96+G97+G98+G99+G100+G101+G102+G103</f>
        <v>54774689.94</v>
      </c>
      <c r="H91" s="58">
        <f aca="true" t="shared" si="47" ref="H91:O91">H92+H93+H94+H95+H96+H97+H98+H99+H100+H101+H102+H103</f>
        <v>41943.6</v>
      </c>
      <c r="I91" s="58">
        <f t="shared" si="47"/>
        <v>819072.2899999999</v>
      </c>
      <c r="J91" s="58">
        <f t="shared" si="47"/>
        <v>1563231</v>
      </c>
      <c r="K91" s="58">
        <f t="shared" si="47"/>
        <v>7540000</v>
      </c>
      <c r="L91" s="58">
        <f t="shared" si="47"/>
        <v>15840000</v>
      </c>
      <c r="M91" s="58">
        <f t="shared" si="47"/>
        <v>14970443.05</v>
      </c>
      <c r="N91" s="58">
        <f t="shared" si="47"/>
        <v>14000000</v>
      </c>
      <c r="O91" s="58">
        <f t="shared" si="47"/>
        <v>53913674.05</v>
      </c>
    </row>
    <row r="92" spans="1:15" s="18" customFormat="1" ht="28.5" customHeight="1">
      <c r="A92" s="8">
        <v>12</v>
      </c>
      <c r="B92" s="8"/>
      <c r="C92" s="8" t="s">
        <v>34</v>
      </c>
      <c r="D92" s="15" t="s">
        <v>35</v>
      </c>
      <c r="E92" s="66">
        <v>2010</v>
      </c>
      <c r="F92" s="66">
        <v>2015</v>
      </c>
      <c r="G92" s="14">
        <f aca="true" t="shared" si="48" ref="G92:G108">H92+I92+J92+K92+L92+M92</f>
        <v>1800000</v>
      </c>
      <c r="H92" s="9">
        <v>21081.6</v>
      </c>
      <c r="I92" s="9">
        <f>400000+411000-2524.65</f>
        <v>808475.35</v>
      </c>
      <c r="J92" s="9">
        <v>0</v>
      </c>
      <c r="K92" s="9">
        <v>0</v>
      </c>
      <c r="L92" s="9">
        <v>0</v>
      </c>
      <c r="M92" s="9">
        <f>967918.4+2524.65</f>
        <v>970443.05</v>
      </c>
      <c r="N92" s="9">
        <v>0</v>
      </c>
      <c r="O92" s="14">
        <f aca="true" t="shared" si="49" ref="O92:O102">J92+K92+L92+M92+N92</f>
        <v>970443.05</v>
      </c>
    </row>
    <row r="93" spans="1:15" s="56" customFormat="1" ht="28.5" customHeight="1">
      <c r="A93" s="55">
        <v>13</v>
      </c>
      <c r="B93" s="61"/>
      <c r="C93" s="54" t="s">
        <v>94</v>
      </c>
      <c r="D93" s="54" t="s">
        <v>35</v>
      </c>
      <c r="E93" s="69">
        <v>2012</v>
      </c>
      <c r="F93" s="69">
        <v>2013</v>
      </c>
      <c r="G93" s="40">
        <f t="shared" si="48"/>
        <v>1200000</v>
      </c>
      <c r="H93" s="41">
        <v>0</v>
      </c>
      <c r="I93" s="41">
        <v>0</v>
      </c>
      <c r="J93" s="41">
        <v>50000</v>
      </c>
      <c r="K93" s="41">
        <v>1150000</v>
      </c>
      <c r="L93" s="41">
        <v>0</v>
      </c>
      <c r="M93" s="41">
        <v>0</v>
      </c>
      <c r="N93" s="41">
        <v>0</v>
      </c>
      <c r="O93" s="40">
        <f t="shared" si="49"/>
        <v>1200000</v>
      </c>
    </row>
    <row r="94" spans="1:15" s="56" customFormat="1" ht="28.5" customHeight="1">
      <c r="A94" s="55">
        <v>14</v>
      </c>
      <c r="B94" s="55"/>
      <c r="C94" s="54" t="s">
        <v>95</v>
      </c>
      <c r="D94" s="54" t="s">
        <v>35</v>
      </c>
      <c r="E94" s="69">
        <v>2012</v>
      </c>
      <c r="F94" s="69">
        <v>2013</v>
      </c>
      <c r="G94" s="40">
        <f t="shared" si="48"/>
        <v>250000</v>
      </c>
      <c r="H94" s="41">
        <v>0</v>
      </c>
      <c r="I94" s="41">
        <v>0</v>
      </c>
      <c r="J94" s="41">
        <v>10000</v>
      </c>
      <c r="K94" s="41">
        <v>240000</v>
      </c>
      <c r="L94" s="41">
        <v>0</v>
      </c>
      <c r="M94" s="41">
        <v>0</v>
      </c>
      <c r="N94" s="41">
        <v>0</v>
      </c>
      <c r="O94" s="40">
        <f t="shared" si="49"/>
        <v>250000</v>
      </c>
    </row>
    <row r="95" spans="1:15" s="56" customFormat="1" ht="28.5" customHeight="1">
      <c r="A95" s="55">
        <v>15</v>
      </c>
      <c r="B95" s="55"/>
      <c r="C95" s="54" t="s">
        <v>78</v>
      </c>
      <c r="D95" s="54" t="s">
        <v>35</v>
      </c>
      <c r="E95" s="69">
        <v>2012</v>
      </c>
      <c r="F95" s="69">
        <v>2014</v>
      </c>
      <c r="G95" s="40">
        <f t="shared" si="48"/>
        <v>800000</v>
      </c>
      <c r="H95" s="41">
        <v>0</v>
      </c>
      <c r="I95" s="41">
        <v>0</v>
      </c>
      <c r="J95" s="41">
        <v>50000</v>
      </c>
      <c r="K95" s="41">
        <v>500000</v>
      </c>
      <c r="L95" s="41">
        <v>250000</v>
      </c>
      <c r="M95" s="41">
        <v>0</v>
      </c>
      <c r="N95" s="41">
        <v>0</v>
      </c>
      <c r="O95" s="40">
        <f t="shared" si="49"/>
        <v>800000</v>
      </c>
    </row>
    <row r="96" spans="1:15" s="56" customFormat="1" ht="28.5" customHeight="1">
      <c r="A96" s="55">
        <v>16</v>
      </c>
      <c r="B96" s="55"/>
      <c r="C96" s="15" t="s">
        <v>103</v>
      </c>
      <c r="D96" s="54" t="s">
        <v>35</v>
      </c>
      <c r="E96" s="69">
        <v>2012</v>
      </c>
      <c r="F96" s="69">
        <v>2013</v>
      </c>
      <c r="G96" s="40">
        <f t="shared" si="48"/>
        <v>3000000</v>
      </c>
      <c r="H96" s="41">
        <v>0</v>
      </c>
      <c r="I96" s="41">
        <v>0</v>
      </c>
      <c r="J96" s="41">
        <v>50000</v>
      </c>
      <c r="K96" s="41">
        <v>2950000</v>
      </c>
      <c r="L96" s="41">
        <v>0</v>
      </c>
      <c r="M96" s="41">
        <v>0</v>
      </c>
      <c r="N96" s="41">
        <v>0</v>
      </c>
      <c r="O96" s="40">
        <f t="shared" si="49"/>
        <v>3000000</v>
      </c>
    </row>
    <row r="97" spans="1:15" s="56" customFormat="1" ht="28.5" customHeight="1">
      <c r="A97" s="55">
        <v>17</v>
      </c>
      <c r="B97" s="55"/>
      <c r="C97" s="54" t="s">
        <v>79</v>
      </c>
      <c r="D97" s="54" t="s">
        <v>35</v>
      </c>
      <c r="E97" s="69">
        <v>2012</v>
      </c>
      <c r="F97" s="69">
        <v>2014</v>
      </c>
      <c r="G97" s="40">
        <f t="shared" si="48"/>
        <v>700000</v>
      </c>
      <c r="H97" s="41">
        <v>0</v>
      </c>
      <c r="I97" s="41">
        <v>0</v>
      </c>
      <c r="J97" s="41">
        <v>30000</v>
      </c>
      <c r="K97" s="41">
        <v>400000</v>
      </c>
      <c r="L97" s="41">
        <v>270000</v>
      </c>
      <c r="M97" s="41">
        <v>0</v>
      </c>
      <c r="N97" s="41">
        <v>0</v>
      </c>
      <c r="O97" s="40">
        <f t="shared" si="49"/>
        <v>700000</v>
      </c>
    </row>
    <row r="98" spans="1:15" s="56" customFormat="1" ht="28.5" customHeight="1">
      <c r="A98" s="55">
        <v>18</v>
      </c>
      <c r="B98" s="55"/>
      <c r="C98" s="54" t="s">
        <v>82</v>
      </c>
      <c r="D98" s="54" t="s">
        <v>35</v>
      </c>
      <c r="E98" s="69">
        <v>2012</v>
      </c>
      <c r="F98" s="69">
        <v>2014</v>
      </c>
      <c r="G98" s="40">
        <f t="shared" si="48"/>
        <v>1100000</v>
      </c>
      <c r="H98" s="41">
        <v>0</v>
      </c>
      <c r="I98" s="41">
        <v>0</v>
      </c>
      <c r="J98" s="41">
        <v>50000</v>
      </c>
      <c r="K98" s="41">
        <v>0</v>
      </c>
      <c r="L98" s="41">
        <v>1050000</v>
      </c>
      <c r="M98" s="41">
        <v>0</v>
      </c>
      <c r="N98" s="41">
        <v>0</v>
      </c>
      <c r="O98" s="40">
        <f t="shared" si="49"/>
        <v>1100000</v>
      </c>
    </row>
    <row r="99" spans="1:15" s="56" customFormat="1" ht="28.5" customHeight="1">
      <c r="A99" s="55">
        <v>19</v>
      </c>
      <c r="B99" s="55"/>
      <c r="C99" s="54" t="s">
        <v>80</v>
      </c>
      <c r="D99" s="54" t="s">
        <v>35</v>
      </c>
      <c r="E99" s="69">
        <v>2012</v>
      </c>
      <c r="F99" s="69">
        <v>2013</v>
      </c>
      <c r="G99" s="40">
        <f t="shared" si="48"/>
        <v>1000000</v>
      </c>
      <c r="H99" s="41">
        <v>0</v>
      </c>
      <c r="I99" s="41">
        <v>0</v>
      </c>
      <c r="J99" s="41">
        <v>50000</v>
      </c>
      <c r="K99" s="41">
        <v>950000</v>
      </c>
      <c r="L99" s="41">
        <v>0</v>
      </c>
      <c r="M99" s="41">
        <v>0</v>
      </c>
      <c r="N99" s="41">
        <v>0</v>
      </c>
      <c r="O99" s="40">
        <f t="shared" si="49"/>
        <v>1000000</v>
      </c>
    </row>
    <row r="100" spans="1:15" s="56" customFormat="1" ht="28.5" customHeight="1">
      <c r="A100" s="55">
        <v>20</v>
      </c>
      <c r="B100" s="55"/>
      <c r="C100" s="54" t="s">
        <v>81</v>
      </c>
      <c r="D100" s="54" t="s">
        <v>35</v>
      </c>
      <c r="E100" s="69">
        <v>2012</v>
      </c>
      <c r="F100" s="69">
        <v>2014</v>
      </c>
      <c r="G100" s="40">
        <f t="shared" si="48"/>
        <v>600000</v>
      </c>
      <c r="H100" s="41">
        <v>0</v>
      </c>
      <c r="I100" s="41">
        <v>0</v>
      </c>
      <c r="J100" s="41">
        <v>30000</v>
      </c>
      <c r="K100" s="41">
        <v>300000</v>
      </c>
      <c r="L100" s="41">
        <v>270000</v>
      </c>
      <c r="M100" s="41">
        <v>0</v>
      </c>
      <c r="N100" s="41">
        <v>0</v>
      </c>
      <c r="O100" s="40">
        <f t="shared" si="49"/>
        <v>600000</v>
      </c>
    </row>
    <row r="101" spans="1:15" s="18" customFormat="1" ht="35.25" customHeight="1">
      <c r="A101" s="8">
        <v>21</v>
      </c>
      <c r="B101" s="8"/>
      <c r="C101" s="15" t="s">
        <v>85</v>
      </c>
      <c r="D101" s="15" t="s">
        <v>35</v>
      </c>
      <c r="E101" s="66">
        <v>2011</v>
      </c>
      <c r="F101" s="66">
        <v>2012</v>
      </c>
      <c r="G101" s="14">
        <f t="shared" si="48"/>
        <v>768655.94</v>
      </c>
      <c r="H101" s="9">
        <v>20862</v>
      </c>
      <c r="I101" s="9">
        <f>12200-1603.06</f>
        <v>10596.94</v>
      </c>
      <c r="J101" s="9">
        <f>1087800-319800-30803</f>
        <v>737197</v>
      </c>
      <c r="K101" s="9">
        <v>0</v>
      </c>
      <c r="L101" s="9">
        <v>0</v>
      </c>
      <c r="M101" s="9">
        <v>0</v>
      </c>
      <c r="N101" s="9">
        <v>0</v>
      </c>
      <c r="O101" s="14">
        <f t="shared" si="49"/>
        <v>737197</v>
      </c>
    </row>
    <row r="102" spans="1:15" s="18" customFormat="1" ht="35.25" customHeight="1">
      <c r="A102" s="8">
        <v>22</v>
      </c>
      <c r="B102" s="8"/>
      <c r="C102" s="15" t="s">
        <v>96</v>
      </c>
      <c r="D102" s="15" t="s">
        <v>35</v>
      </c>
      <c r="E102" s="66">
        <v>2011</v>
      </c>
      <c r="F102" s="66">
        <v>2012</v>
      </c>
      <c r="G102" s="14">
        <f t="shared" si="48"/>
        <v>506034</v>
      </c>
      <c r="H102" s="9">
        <v>0</v>
      </c>
      <c r="I102" s="9">
        <v>0</v>
      </c>
      <c r="J102" s="9">
        <f>850000-237000-90000-16966</f>
        <v>506034</v>
      </c>
      <c r="K102" s="9">
        <v>0</v>
      </c>
      <c r="L102" s="9">
        <v>0</v>
      </c>
      <c r="M102" s="9">
        <v>0</v>
      </c>
      <c r="N102" s="9">
        <v>0</v>
      </c>
      <c r="O102" s="14">
        <f t="shared" si="49"/>
        <v>506034</v>
      </c>
    </row>
    <row r="103" spans="1:15" s="18" customFormat="1" ht="35.25" customHeight="1">
      <c r="A103" s="8">
        <v>23</v>
      </c>
      <c r="B103" s="8"/>
      <c r="C103" s="15" t="s">
        <v>110</v>
      </c>
      <c r="D103" s="15" t="s">
        <v>35</v>
      </c>
      <c r="E103" s="66">
        <v>2012</v>
      </c>
      <c r="F103" s="66">
        <v>2016</v>
      </c>
      <c r="G103" s="14">
        <f>H103+I103+J103+K103+L103+M103+N103</f>
        <v>43050000</v>
      </c>
      <c r="H103" s="9">
        <v>0</v>
      </c>
      <c r="I103" s="9">
        <v>0</v>
      </c>
      <c r="J103" s="9">
        <v>0</v>
      </c>
      <c r="K103" s="9">
        <v>1050000</v>
      </c>
      <c r="L103" s="9">
        <v>14000000</v>
      </c>
      <c r="M103" s="9">
        <v>14000000</v>
      </c>
      <c r="N103" s="9">
        <v>14000000</v>
      </c>
      <c r="O103" s="14">
        <f>J103+K103+L103+M103+N103</f>
        <v>43050000</v>
      </c>
    </row>
    <row r="104" spans="1:15" s="26" customFormat="1" ht="24.75" customHeight="1">
      <c r="A104" s="110">
        <v>700</v>
      </c>
      <c r="B104" s="110"/>
      <c r="C104" s="24" t="s">
        <v>31</v>
      </c>
      <c r="D104" s="24"/>
      <c r="E104" s="62"/>
      <c r="F104" s="62"/>
      <c r="G104" s="25">
        <f>H104+I104+J104+K104+L104+M104</f>
        <v>371047.22</v>
      </c>
      <c r="H104" s="25">
        <f>H105</f>
        <v>65923.22</v>
      </c>
      <c r="I104" s="25">
        <f aca="true" t="shared" si="50" ref="I104:N104">I105</f>
        <v>0</v>
      </c>
      <c r="J104" s="25">
        <f t="shared" si="50"/>
        <v>55124</v>
      </c>
      <c r="K104" s="25">
        <f t="shared" si="50"/>
        <v>250000</v>
      </c>
      <c r="L104" s="25">
        <f t="shared" si="50"/>
        <v>0</v>
      </c>
      <c r="M104" s="25">
        <f t="shared" si="50"/>
        <v>0</v>
      </c>
      <c r="N104" s="25">
        <f t="shared" si="50"/>
        <v>0</v>
      </c>
      <c r="O104" s="42">
        <f>O105</f>
        <v>305124</v>
      </c>
    </row>
    <row r="105" spans="1:15" s="82" customFormat="1" ht="24.75" customHeight="1">
      <c r="A105" s="7"/>
      <c r="B105" s="7">
        <v>70005</v>
      </c>
      <c r="C105" s="7" t="s">
        <v>32</v>
      </c>
      <c r="D105" s="7"/>
      <c r="E105" s="65"/>
      <c r="F105" s="65"/>
      <c r="G105" s="14">
        <f>H105+I105+J105+K105+L105+M105</f>
        <v>371047.22</v>
      </c>
      <c r="H105" s="14">
        <f>H106+H107</f>
        <v>65923.22</v>
      </c>
      <c r="I105" s="14">
        <f aca="true" t="shared" si="51" ref="I105:O105">I106+I107</f>
        <v>0</v>
      </c>
      <c r="J105" s="14">
        <f t="shared" si="51"/>
        <v>55124</v>
      </c>
      <c r="K105" s="14">
        <f t="shared" si="51"/>
        <v>250000</v>
      </c>
      <c r="L105" s="14">
        <f t="shared" si="51"/>
        <v>0</v>
      </c>
      <c r="M105" s="14">
        <f t="shared" si="51"/>
        <v>0</v>
      </c>
      <c r="N105" s="14">
        <f t="shared" si="51"/>
        <v>0</v>
      </c>
      <c r="O105" s="14">
        <f t="shared" si="51"/>
        <v>305124</v>
      </c>
    </row>
    <row r="106" spans="1:15" s="47" customFormat="1" ht="27.75" customHeight="1">
      <c r="A106" s="8">
        <v>27</v>
      </c>
      <c r="B106" s="77"/>
      <c r="C106" s="8" t="s">
        <v>111</v>
      </c>
      <c r="D106" s="15" t="s">
        <v>35</v>
      </c>
      <c r="E106" s="66">
        <v>2012</v>
      </c>
      <c r="F106" s="66">
        <v>2013</v>
      </c>
      <c r="G106" s="14">
        <f>H106+I106+J106+K106+L106+M106</f>
        <v>300000</v>
      </c>
      <c r="H106" s="9">
        <v>0</v>
      </c>
      <c r="I106" s="9">
        <v>0</v>
      </c>
      <c r="J106" s="9">
        <v>50000</v>
      </c>
      <c r="K106" s="9">
        <v>250000</v>
      </c>
      <c r="L106" s="9">
        <v>0</v>
      </c>
      <c r="M106" s="9">
        <v>0</v>
      </c>
      <c r="N106" s="9">
        <v>0</v>
      </c>
      <c r="O106" s="14">
        <f>G106-H106-I106</f>
        <v>300000</v>
      </c>
    </row>
    <row r="107" spans="1:15" s="82" customFormat="1" ht="52.5" customHeight="1">
      <c r="A107" s="8">
        <v>2</v>
      </c>
      <c r="B107" s="8"/>
      <c r="C107" s="15" t="s">
        <v>30</v>
      </c>
      <c r="D107" s="15" t="s">
        <v>35</v>
      </c>
      <c r="E107" s="66">
        <v>2007</v>
      </c>
      <c r="F107" s="66">
        <v>2012</v>
      </c>
      <c r="G107" s="14">
        <f>H107+I107+J107+K107+L107+M107</f>
        <v>71047.22</v>
      </c>
      <c r="H107" s="9">
        <v>65923.22</v>
      </c>
      <c r="I107" s="9">
        <v>0</v>
      </c>
      <c r="J107" s="9">
        <v>5124</v>
      </c>
      <c r="K107" s="9">
        <v>0</v>
      </c>
      <c r="L107" s="9">
        <f>L108</f>
        <v>0</v>
      </c>
      <c r="M107" s="9">
        <f>M108</f>
        <v>0</v>
      </c>
      <c r="N107" s="9">
        <f>N108</f>
        <v>0</v>
      </c>
      <c r="O107" s="14">
        <f>J107+K107+L107+M107+N107</f>
        <v>5124</v>
      </c>
    </row>
    <row r="108" spans="1:15" s="35" customFormat="1" ht="24" customHeight="1">
      <c r="A108" s="101">
        <v>801</v>
      </c>
      <c r="B108" s="102"/>
      <c r="C108" s="24" t="s">
        <v>17</v>
      </c>
      <c r="D108" s="24"/>
      <c r="E108" s="62"/>
      <c r="F108" s="62"/>
      <c r="G108" s="25">
        <f t="shared" si="48"/>
        <v>12070000</v>
      </c>
      <c r="H108" s="25">
        <f>H109</f>
        <v>60975.6</v>
      </c>
      <c r="I108" s="25">
        <f aca="true" t="shared" si="52" ref="I108:O108">I109</f>
        <v>496322.31000000006</v>
      </c>
      <c r="J108" s="25">
        <f t="shared" si="52"/>
        <v>2160000</v>
      </c>
      <c r="K108" s="25">
        <f t="shared" si="52"/>
        <v>9352702.09</v>
      </c>
      <c r="L108" s="25">
        <f t="shared" si="52"/>
        <v>0</v>
      </c>
      <c r="M108" s="42">
        <f t="shared" si="52"/>
        <v>0</v>
      </c>
      <c r="N108" s="42">
        <f t="shared" si="52"/>
        <v>0</v>
      </c>
      <c r="O108" s="42">
        <f t="shared" si="52"/>
        <v>11512702.09</v>
      </c>
    </row>
    <row r="109" spans="1:15" s="3" customFormat="1" ht="30.75" customHeight="1">
      <c r="A109" s="11"/>
      <c r="B109" s="11">
        <v>80104</v>
      </c>
      <c r="C109" s="11" t="s">
        <v>25</v>
      </c>
      <c r="D109" s="11"/>
      <c r="E109" s="73"/>
      <c r="F109" s="73"/>
      <c r="G109" s="14">
        <f aca="true" t="shared" si="53" ref="G109:G129">H109+I109+J109+K109+L109+M109</f>
        <v>12070000</v>
      </c>
      <c r="H109" s="14">
        <f>H110+H111+H112</f>
        <v>60975.6</v>
      </c>
      <c r="I109" s="14">
        <f aca="true" t="shared" si="54" ref="I109:N109">I110+I111+I112</f>
        <v>496322.31000000006</v>
      </c>
      <c r="J109" s="14">
        <f t="shared" si="54"/>
        <v>2160000</v>
      </c>
      <c r="K109" s="14">
        <f t="shared" si="54"/>
        <v>9352702.09</v>
      </c>
      <c r="L109" s="14">
        <f t="shared" si="54"/>
        <v>0</v>
      </c>
      <c r="M109" s="14">
        <f t="shared" si="54"/>
        <v>0</v>
      </c>
      <c r="N109" s="14">
        <f t="shared" si="54"/>
        <v>0</v>
      </c>
      <c r="O109" s="40">
        <f>G109-H109-I109</f>
        <v>11512702.09</v>
      </c>
    </row>
    <row r="110" spans="1:15" s="18" customFormat="1" ht="27.75" customHeight="1">
      <c r="A110" s="8">
        <v>24</v>
      </c>
      <c r="B110" s="8"/>
      <c r="C110" s="15" t="s">
        <v>69</v>
      </c>
      <c r="D110" s="15" t="s">
        <v>35</v>
      </c>
      <c r="E110" s="66">
        <v>2010</v>
      </c>
      <c r="F110" s="66">
        <v>2013</v>
      </c>
      <c r="G110" s="14">
        <f t="shared" si="53"/>
        <v>4000000</v>
      </c>
      <c r="H110" s="9">
        <v>0</v>
      </c>
      <c r="I110" s="9">
        <f>1200000-500000-600000-100000</f>
        <v>0</v>
      </c>
      <c r="J110" s="9">
        <f>100000-4000</f>
        <v>96000</v>
      </c>
      <c r="K110" s="9">
        <f>3800000+100000+4000</f>
        <v>3904000</v>
      </c>
      <c r="L110" s="9">
        <v>0</v>
      </c>
      <c r="M110" s="9">
        <v>0</v>
      </c>
      <c r="N110" s="9">
        <v>0</v>
      </c>
      <c r="O110" s="14">
        <f>G110-H110-I110</f>
        <v>4000000</v>
      </c>
    </row>
    <row r="111" spans="1:15" s="18" customFormat="1" ht="30" customHeight="1">
      <c r="A111" s="8">
        <v>25</v>
      </c>
      <c r="B111" s="8"/>
      <c r="C111" s="8" t="s">
        <v>11</v>
      </c>
      <c r="D111" s="15" t="s">
        <v>35</v>
      </c>
      <c r="E111" s="66">
        <v>2010</v>
      </c>
      <c r="F111" s="66">
        <v>2013</v>
      </c>
      <c r="G111" s="14">
        <f t="shared" si="53"/>
        <v>4070000</v>
      </c>
      <c r="H111" s="9">
        <v>60975.6</v>
      </c>
      <c r="I111" s="9">
        <f>200000+950000-653677.69</f>
        <v>496322.31000000006</v>
      </c>
      <c r="J111" s="9">
        <f>1200000+810000</f>
        <v>2010000</v>
      </c>
      <c r="K111" s="9">
        <f>739024.4+653677.69+110000</f>
        <v>1502702.0899999999</v>
      </c>
      <c r="L111" s="9">
        <v>0</v>
      </c>
      <c r="M111" s="9">
        <v>0</v>
      </c>
      <c r="N111" s="9">
        <v>0</v>
      </c>
      <c r="O111" s="14">
        <f>G111-H111-I111</f>
        <v>3512702.09</v>
      </c>
    </row>
    <row r="112" spans="1:15" s="18" customFormat="1" ht="30" customHeight="1">
      <c r="A112" s="8">
        <v>26</v>
      </c>
      <c r="B112" s="8"/>
      <c r="C112" s="8" t="s">
        <v>12</v>
      </c>
      <c r="D112" s="15" t="s">
        <v>35</v>
      </c>
      <c r="E112" s="66">
        <v>2011</v>
      </c>
      <c r="F112" s="66">
        <v>2013</v>
      </c>
      <c r="G112" s="14">
        <f t="shared" si="53"/>
        <v>4000000</v>
      </c>
      <c r="H112" s="9">
        <v>0</v>
      </c>
      <c r="I112" s="9">
        <f>80000-80000</f>
        <v>0</v>
      </c>
      <c r="J112" s="9">
        <f>50000+4000</f>
        <v>54000</v>
      </c>
      <c r="K112" s="9">
        <f>3870000+80000-4000</f>
        <v>3946000</v>
      </c>
      <c r="L112" s="9">
        <v>0</v>
      </c>
      <c r="M112" s="9">
        <v>0</v>
      </c>
      <c r="N112" s="9">
        <v>0</v>
      </c>
      <c r="O112" s="14">
        <f>G112-H112-I112</f>
        <v>4000000</v>
      </c>
    </row>
    <row r="113" spans="1:15" s="35" customFormat="1" ht="19.5" customHeight="1">
      <c r="A113" s="101">
        <v>852</v>
      </c>
      <c r="B113" s="102"/>
      <c r="C113" s="24" t="s">
        <v>18</v>
      </c>
      <c r="D113" s="24"/>
      <c r="E113" s="62"/>
      <c r="F113" s="62"/>
      <c r="G113" s="25">
        <f t="shared" si="53"/>
        <v>8550000</v>
      </c>
      <c r="H113" s="25">
        <f aca="true" t="shared" si="55" ref="H113:O113">H114</f>
        <v>7320</v>
      </c>
      <c r="I113" s="25">
        <f t="shared" si="55"/>
        <v>255532.47999999998</v>
      </c>
      <c r="J113" s="25">
        <f t="shared" si="55"/>
        <v>450000</v>
      </c>
      <c r="K113" s="25">
        <f t="shared" si="55"/>
        <v>7837147.52</v>
      </c>
      <c r="L113" s="25">
        <f t="shared" si="55"/>
        <v>0</v>
      </c>
      <c r="M113" s="42">
        <f t="shared" si="55"/>
        <v>0</v>
      </c>
      <c r="N113" s="42">
        <f t="shared" si="55"/>
        <v>0</v>
      </c>
      <c r="O113" s="42">
        <f t="shared" si="55"/>
        <v>8287147.52</v>
      </c>
    </row>
    <row r="114" spans="1:15" s="3" customFormat="1" ht="22.5" customHeight="1">
      <c r="A114" s="11"/>
      <c r="B114" s="11">
        <v>85202</v>
      </c>
      <c r="C114" s="11" t="s">
        <v>26</v>
      </c>
      <c r="D114" s="11"/>
      <c r="E114" s="73"/>
      <c r="F114" s="73"/>
      <c r="G114" s="14">
        <f t="shared" si="53"/>
        <v>8550000</v>
      </c>
      <c r="H114" s="14">
        <v>7320</v>
      </c>
      <c r="I114" s="14">
        <f aca="true" t="shared" si="56" ref="I114:N114">I115</f>
        <v>255532.47999999998</v>
      </c>
      <c r="J114" s="14">
        <f t="shared" si="56"/>
        <v>450000</v>
      </c>
      <c r="K114" s="14">
        <f t="shared" si="56"/>
        <v>7837147.52</v>
      </c>
      <c r="L114" s="14">
        <f t="shared" si="56"/>
        <v>0</v>
      </c>
      <c r="M114" s="14">
        <f t="shared" si="56"/>
        <v>0</v>
      </c>
      <c r="N114" s="14">
        <f t="shared" si="56"/>
        <v>0</v>
      </c>
      <c r="O114" s="40">
        <f>G114-H114-I114</f>
        <v>8287147.52</v>
      </c>
    </row>
    <row r="115" spans="1:15" s="47" customFormat="1" ht="27.75" customHeight="1">
      <c r="A115" s="8">
        <v>27</v>
      </c>
      <c r="B115" s="77"/>
      <c r="C115" s="8" t="s">
        <v>59</v>
      </c>
      <c r="D115" s="15" t="s">
        <v>35</v>
      </c>
      <c r="E115" s="66">
        <v>2010</v>
      </c>
      <c r="F115" s="66">
        <v>2013</v>
      </c>
      <c r="G115" s="14">
        <f t="shared" si="53"/>
        <v>8550000</v>
      </c>
      <c r="H115" s="9">
        <v>7320</v>
      </c>
      <c r="I115" s="9">
        <f>1000000-300000-314400-130067.52</f>
        <v>255532.47999999998</v>
      </c>
      <c r="J115" s="9">
        <f>500000-50000</f>
        <v>450000</v>
      </c>
      <c r="K115" s="9">
        <f>7707080+130067.52</f>
        <v>7837147.52</v>
      </c>
      <c r="L115" s="9">
        <v>0</v>
      </c>
      <c r="M115" s="9">
        <v>0</v>
      </c>
      <c r="N115" s="9">
        <v>0</v>
      </c>
      <c r="O115" s="14">
        <f>G115-H115-I115</f>
        <v>8287147.52</v>
      </c>
    </row>
    <row r="116" spans="1:15" s="35" customFormat="1" ht="19.5" customHeight="1">
      <c r="A116" s="101">
        <v>900</v>
      </c>
      <c r="B116" s="102"/>
      <c r="C116" s="24" t="s">
        <v>51</v>
      </c>
      <c r="D116" s="24"/>
      <c r="E116" s="62"/>
      <c r="F116" s="62"/>
      <c r="G116" s="25">
        <f>H116+I116+J116+K116+L116+M116+N116</f>
        <v>38450000</v>
      </c>
      <c r="H116" s="25">
        <f>H119+H117</f>
        <v>0</v>
      </c>
      <c r="I116" s="25">
        <f>I119</f>
        <v>0</v>
      </c>
      <c r="J116" s="25">
        <f>J119+J117</f>
        <v>200000</v>
      </c>
      <c r="K116" s="25">
        <f>K119+K117</f>
        <v>5450000</v>
      </c>
      <c r="L116" s="25">
        <f>L119+L117</f>
        <v>11000000</v>
      </c>
      <c r="M116" s="25">
        <f>M119+M117</f>
        <v>15800000</v>
      </c>
      <c r="N116" s="25">
        <f>N119+N117</f>
        <v>6000000</v>
      </c>
      <c r="O116" s="42">
        <f>N116+M116+L116+K116+J116</f>
        <v>38450000</v>
      </c>
    </row>
    <row r="117" spans="1:15" s="3" customFormat="1" ht="19.5" customHeight="1">
      <c r="A117" s="88"/>
      <c r="B117" s="89">
        <v>90001</v>
      </c>
      <c r="C117" s="7" t="s">
        <v>112</v>
      </c>
      <c r="D117" s="7"/>
      <c r="E117" s="65"/>
      <c r="F117" s="65"/>
      <c r="G117" s="14">
        <f>G118</f>
        <v>18450000</v>
      </c>
      <c r="H117" s="14">
        <f aca="true" t="shared" si="57" ref="H117:O117">H118</f>
        <v>0</v>
      </c>
      <c r="I117" s="14">
        <f t="shared" si="57"/>
        <v>0</v>
      </c>
      <c r="J117" s="14">
        <f t="shared" si="57"/>
        <v>0</v>
      </c>
      <c r="K117" s="14">
        <f t="shared" si="57"/>
        <v>450000</v>
      </c>
      <c r="L117" s="14">
        <f t="shared" si="57"/>
        <v>6000000</v>
      </c>
      <c r="M117" s="14">
        <f t="shared" si="57"/>
        <v>6000000</v>
      </c>
      <c r="N117" s="14">
        <f t="shared" si="57"/>
        <v>6000000</v>
      </c>
      <c r="O117" s="14">
        <f t="shared" si="57"/>
        <v>18450000</v>
      </c>
    </row>
    <row r="118" spans="1:15" s="3" customFormat="1" ht="31.5" customHeight="1">
      <c r="A118" s="96">
        <v>28</v>
      </c>
      <c r="B118" s="65"/>
      <c r="C118" s="15" t="s">
        <v>110</v>
      </c>
      <c r="D118" s="15" t="s">
        <v>35</v>
      </c>
      <c r="E118" s="66">
        <v>2012</v>
      </c>
      <c r="F118" s="66">
        <v>2016</v>
      </c>
      <c r="G118" s="9">
        <f>H118+I118+J118+K118+L118+M118+N118</f>
        <v>18450000</v>
      </c>
      <c r="H118" s="9">
        <v>0</v>
      </c>
      <c r="I118" s="9">
        <v>0</v>
      </c>
      <c r="J118" s="9">
        <v>0</v>
      </c>
      <c r="K118" s="9">
        <v>450000</v>
      </c>
      <c r="L118" s="9">
        <v>6000000</v>
      </c>
      <c r="M118" s="9">
        <v>6000000</v>
      </c>
      <c r="N118" s="9">
        <v>6000000</v>
      </c>
      <c r="O118" s="9">
        <f>G118-H118-I118</f>
        <v>18450000</v>
      </c>
    </row>
    <row r="119" spans="1:15" s="3" customFormat="1" ht="22.5" customHeight="1">
      <c r="A119" s="11"/>
      <c r="B119" s="11">
        <v>90095</v>
      </c>
      <c r="C119" s="11" t="s">
        <v>86</v>
      </c>
      <c r="D119" s="11"/>
      <c r="E119" s="73"/>
      <c r="F119" s="73"/>
      <c r="G119" s="14">
        <f>H119+I119+J119+K119+L119+M119</f>
        <v>20000000</v>
      </c>
      <c r="H119" s="14">
        <v>0</v>
      </c>
      <c r="I119" s="14">
        <f aca="true" t="shared" si="58" ref="I119:N119">I120</f>
        <v>0</v>
      </c>
      <c r="J119" s="14">
        <f t="shared" si="58"/>
        <v>200000</v>
      </c>
      <c r="K119" s="14">
        <f t="shared" si="58"/>
        <v>5000000</v>
      </c>
      <c r="L119" s="14">
        <f t="shared" si="58"/>
        <v>5000000</v>
      </c>
      <c r="M119" s="14">
        <f t="shared" si="58"/>
        <v>9800000</v>
      </c>
      <c r="N119" s="14">
        <f t="shared" si="58"/>
        <v>0</v>
      </c>
      <c r="O119" s="40">
        <f>G119-H119-I119</f>
        <v>20000000</v>
      </c>
    </row>
    <row r="120" spans="1:15" s="47" customFormat="1" ht="27.75" customHeight="1">
      <c r="A120" s="8">
        <v>29</v>
      </c>
      <c r="B120" s="77"/>
      <c r="C120" s="8" t="s">
        <v>100</v>
      </c>
      <c r="D120" s="15" t="s">
        <v>35</v>
      </c>
      <c r="E120" s="66">
        <v>2012</v>
      </c>
      <c r="F120" s="66">
        <v>215</v>
      </c>
      <c r="G120" s="14">
        <f>H120+I120+J120+K120+L120+M120</f>
        <v>20000000</v>
      </c>
      <c r="H120" s="9">
        <v>0</v>
      </c>
      <c r="I120" s="9">
        <v>0</v>
      </c>
      <c r="J120" s="9">
        <v>200000</v>
      </c>
      <c r="K120" s="9">
        <v>5000000</v>
      </c>
      <c r="L120" s="9">
        <v>5000000</v>
      </c>
      <c r="M120" s="9">
        <v>9800000</v>
      </c>
      <c r="N120" s="9">
        <v>0</v>
      </c>
      <c r="O120" s="14">
        <f>G120-H120-I120</f>
        <v>20000000</v>
      </c>
    </row>
    <row r="121" spans="1:15" s="35" customFormat="1" ht="19.5" customHeight="1">
      <c r="A121" s="101">
        <v>921</v>
      </c>
      <c r="B121" s="102"/>
      <c r="C121" s="24" t="s">
        <v>19</v>
      </c>
      <c r="D121" s="24"/>
      <c r="E121" s="62"/>
      <c r="F121" s="62"/>
      <c r="G121" s="25">
        <f t="shared" si="53"/>
        <v>27250000</v>
      </c>
      <c r="H121" s="25">
        <f>H122</f>
        <v>1532928.6099999999</v>
      </c>
      <c r="I121" s="25">
        <f aca="true" t="shared" si="59" ref="I121:O121">I122</f>
        <v>625353.13</v>
      </c>
      <c r="J121" s="25">
        <f t="shared" si="59"/>
        <v>400000</v>
      </c>
      <c r="K121" s="25">
        <f t="shared" si="59"/>
        <v>6640010.66</v>
      </c>
      <c r="L121" s="25">
        <f t="shared" si="59"/>
        <v>5380000</v>
      </c>
      <c r="M121" s="42">
        <f t="shared" si="59"/>
        <v>12671707.6</v>
      </c>
      <c r="N121" s="42">
        <f t="shared" si="59"/>
        <v>0</v>
      </c>
      <c r="O121" s="42">
        <f t="shared" si="59"/>
        <v>25091718.26</v>
      </c>
    </row>
    <row r="122" spans="1:15" s="3" customFormat="1" ht="20.25" customHeight="1">
      <c r="A122" s="8"/>
      <c r="B122" s="7">
        <v>92120</v>
      </c>
      <c r="C122" s="7" t="s">
        <v>27</v>
      </c>
      <c r="D122" s="7"/>
      <c r="E122" s="65"/>
      <c r="F122" s="65"/>
      <c r="G122" s="14">
        <f t="shared" si="53"/>
        <v>27250000</v>
      </c>
      <c r="H122" s="14">
        <f aca="true" t="shared" si="60" ref="H122:N122">H123+H124+H125</f>
        <v>1532928.6099999999</v>
      </c>
      <c r="I122" s="14">
        <f t="shared" si="60"/>
        <v>625353.13</v>
      </c>
      <c r="J122" s="14">
        <f t="shared" si="60"/>
        <v>400000</v>
      </c>
      <c r="K122" s="14">
        <f t="shared" si="60"/>
        <v>6640010.66</v>
      </c>
      <c r="L122" s="14">
        <f t="shared" si="60"/>
        <v>5380000</v>
      </c>
      <c r="M122" s="14">
        <f t="shared" si="60"/>
        <v>12671707.6</v>
      </c>
      <c r="N122" s="14">
        <f t="shared" si="60"/>
        <v>0</v>
      </c>
      <c r="O122" s="14">
        <f>G122-H122-I122</f>
        <v>25091718.26</v>
      </c>
    </row>
    <row r="123" spans="1:15" s="18" customFormat="1" ht="24.75" customHeight="1">
      <c r="A123" s="8">
        <v>29</v>
      </c>
      <c r="B123" s="8"/>
      <c r="C123" s="8" t="s">
        <v>13</v>
      </c>
      <c r="D123" s="15" t="s">
        <v>35</v>
      </c>
      <c r="E123" s="66">
        <v>2007</v>
      </c>
      <c r="F123" s="66">
        <v>2015</v>
      </c>
      <c r="G123" s="14">
        <f t="shared" si="53"/>
        <v>24370000</v>
      </c>
      <c r="H123" s="9">
        <v>1218292.4</v>
      </c>
      <c r="I123" s="9">
        <f>3400000-380000-1944000-1000000-76000</f>
        <v>0</v>
      </c>
      <c r="J123" s="9">
        <v>100000</v>
      </c>
      <c r="K123" s="9">
        <v>5000000</v>
      </c>
      <c r="L123" s="9">
        <f>5000000+380000</f>
        <v>5380000</v>
      </c>
      <c r="M123" s="9">
        <f>4751707.6+1944000+1000000+6118292-1218292+76000</f>
        <v>12671707.6</v>
      </c>
      <c r="N123" s="9">
        <v>0</v>
      </c>
      <c r="O123" s="14">
        <f>G123-H123-I123</f>
        <v>23151707.6</v>
      </c>
    </row>
    <row r="124" spans="1:15" s="18" customFormat="1" ht="30" customHeight="1">
      <c r="A124" s="8">
        <v>30</v>
      </c>
      <c r="B124" s="8"/>
      <c r="C124" s="15" t="s">
        <v>36</v>
      </c>
      <c r="D124" s="15" t="s">
        <v>35</v>
      </c>
      <c r="E124" s="66">
        <v>2011</v>
      </c>
      <c r="F124" s="66">
        <v>2013</v>
      </c>
      <c r="G124" s="14">
        <f t="shared" si="53"/>
        <v>950000</v>
      </c>
      <c r="H124" s="9">
        <v>0</v>
      </c>
      <c r="I124" s="9">
        <f>200000-130000-70000</f>
        <v>0</v>
      </c>
      <c r="J124" s="9">
        <v>300000</v>
      </c>
      <c r="K124" s="9">
        <f>580000+70000</f>
        <v>650000</v>
      </c>
      <c r="L124" s="9">
        <v>0</v>
      </c>
      <c r="M124" s="9">
        <v>0</v>
      </c>
      <c r="N124" s="9">
        <v>0</v>
      </c>
      <c r="O124" s="14">
        <f>G124-H124-I124</f>
        <v>950000</v>
      </c>
    </row>
    <row r="125" spans="1:15" s="18" customFormat="1" ht="33.75" customHeight="1">
      <c r="A125" s="8">
        <v>31</v>
      </c>
      <c r="B125" s="8"/>
      <c r="C125" s="15" t="s">
        <v>68</v>
      </c>
      <c r="D125" s="15" t="s">
        <v>35</v>
      </c>
      <c r="E125" s="66">
        <v>2009</v>
      </c>
      <c r="F125" s="66">
        <v>2013</v>
      </c>
      <c r="G125" s="14">
        <f t="shared" si="53"/>
        <v>1930000</v>
      </c>
      <c r="H125" s="9">
        <v>314636.21</v>
      </c>
      <c r="I125" s="9">
        <f>715360-202547.15+112540.28</f>
        <v>625353.13</v>
      </c>
      <c r="J125" s="9">
        <v>0</v>
      </c>
      <c r="K125" s="9">
        <f>900003.79+202547.15-112540.28</f>
        <v>990010.6599999999</v>
      </c>
      <c r="L125" s="9">
        <v>0</v>
      </c>
      <c r="M125" s="9">
        <v>0</v>
      </c>
      <c r="N125" s="9">
        <v>0</v>
      </c>
      <c r="O125" s="14">
        <f>G125-H125-I125</f>
        <v>990010.66</v>
      </c>
    </row>
    <row r="126" spans="1:15" s="35" customFormat="1" ht="21.75" customHeight="1">
      <c r="A126" s="101">
        <v>926</v>
      </c>
      <c r="B126" s="102"/>
      <c r="C126" s="24" t="s">
        <v>56</v>
      </c>
      <c r="D126" s="24"/>
      <c r="E126" s="62"/>
      <c r="F126" s="62"/>
      <c r="G126" s="25">
        <f t="shared" si="53"/>
        <v>5400000</v>
      </c>
      <c r="H126" s="25">
        <v>0</v>
      </c>
      <c r="I126" s="25">
        <f aca="true" t="shared" si="61" ref="I126:O126">I127</f>
        <v>26014.5</v>
      </c>
      <c r="J126" s="25">
        <f t="shared" si="61"/>
        <v>250000</v>
      </c>
      <c r="K126" s="25">
        <f t="shared" si="61"/>
        <v>5123985.5</v>
      </c>
      <c r="L126" s="25">
        <f t="shared" si="61"/>
        <v>0</v>
      </c>
      <c r="M126" s="42">
        <f t="shared" si="61"/>
        <v>0</v>
      </c>
      <c r="N126" s="42">
        <f t="shared" si="61"/>
        <v>0</v>
      </c>
      <c r="O126" s="42">
        <f t="shared" si="61"/>
        <v>5373985.5</v>
      </c>
    </row>
    <row r="127" spans="1:15" s="3" customFormat="1" ht="21" customHeight="1">
      <c r="A127" s="11"/>
      <c r="B127" s="11">
        <v>92601</v>
      </c>
      <c r="C127" s="11" t="s">
        <v>28</v>
      </c>
      <c r="D127" s="11"/>
      <c r="E127" s="65"/>
      <c r="F127" s="65"/>
      <c r="G127" s="14">
        <f t="shared" si="53"/>
        <v>5400000</v>
      </c>
      <c r="H127" s="14">
        <v>0</v>
      </c>
      <c r="I127" s="14">
        <f aca="true" t="shared" si="62" ref="I127:N127">I128+I129</f>
        <v>26014.5</v>
      </c>
      <c r="J127" s="14">
        <f t="shared" si="62"/>
        <v>250000</v>
      </c>
      <c r="K127" s="14">
        <f t="shared" si="62"/>
        <v>5123985.5</v>
      </c>
      <c r="L127" s="14">
        <f t="shared" si="62"/>
        <v>0</v>
      </c>
      <c r="M127" s="14">
        <f t="shared" si="62"/>
        <v>0</v>
      </c>
      <c r="N127" s="14">
        <f t="shared" si="62"/>
        <v>0</v>
      </c>
      <c r="O127" s="40">
        <f>G127-H127-I127</f>
        <v>5373985.5</v>
      </c>
    </row>
    <row r="128" spans="1:15" s="18" customFormat="1" ht="33.75" customHeight="1">
      <c r="A128" s="8">
        <v>32</v>
      </c>
      <c r="B128" s="8"/>
      <c r="C128" s="8" t="s">
        <v>14</v>
      </c>
      <c r="D128" s="15" t="s">
        <v>35</v>
      </c>
      <c r="E128" s="66">
        <v>2012</v>
      </c>
      <c r="F128" s="66">
        <v>2013</v>
      </c>
      <c r="G128" s="14">
        <f t="shared" si="53"/>
        <v>4250000</v>
      </c>
      <c r="H128" s="9">
        <v>0</v>
      </c>
      <c r="I128" s="9">
        <f>200000-150000-50000</f>
        <v>0</v>
      </c>
      <c r="J128" s="9">
        <v>50000</v>
      </c>
      <c r="K128" s="9">
        <f>4150000+50000</f>
        <v>4200000</v>
      </c>
      <c r="L128" s="9">
        <v>0</v>
      </c>
      <c r="M128" s="9">
        <v>0</v>
      </c>
      <c r="N128" s="9">
        <v>0</v>
      </c>
      <c r="O128" s="14">
        <f>G128-H128-I128</f>
        <v>4250000</v>
      </c>
    </row>
    <row r="129" spans="1:15" s="18" customFormat="1" ht="39" customHeight="1">
      <c r="A129" s="8">
        <v>33</v>
      </c>
      <c r="B129" s="78"/>
      <c r="C129" s="79" t="s">
        <v>57</v>
      </c>
      <c r="D129" s="15" t="s">
        <v>35</v>
      </c>
      <c r="E129" s="66">
        <v>2011</v>
      </c>
      <c r="F129" s="66">
        <v>2013</v>
      </c>
      <c r="G129" s="14">
        <f t="shared" si="53"/>
        <v>1150000</v>
      </c>
      <c r="H129" s="9">
        <v>0</v>
      </c>
      <c r="I129" s="9">
        <f>150000-123985.5</f>
        <v>26014.5</v>
      </c>
      <c r="J129" s="9">
        <v>200000</v>
      </c>
      <c r="K129" s="9">
        <f>800000+123985.5</f>
        <v>923985.5</v>
      </c>
      <c r="L129" s="9">
        <v>0</v>
      </c>
      <c r="M129" s="9">
        <v>0</v>
      </c>
      <c r="N129" s="9">
        <v>0</v>
      </c>
      <c r="O129" s="14">
        <f>G129-H129-I129</f>
        <v>1123985.5</v>
      </c>
    </row>
    <row r="130" spans="1:15" s="37" customFormat="1" ht="27" customHeight="1">
      <c r="A130" s="107" t="s">
        <v>42</v>
      </c>
      <c r="B130" s="108"/>
      <c r="C130" s="109"/>
      <c r="D130" s="19"/>
      <c r="E130" s="67"/>
      <c r="F130" s="67"/>
      <c r="G130" s="23">
        <f>H130+I130+J130+K130+L130+M130+N130</f>
        <v>2002500</v>
      </c>
      <c r="H130" s="23">
        <v>0</v>
      </c>
      <c r="I130" s="23">
        <f aca="true" t="shared" si="63" ref="I130:O130">I131</f>
        <v>0</v>
      </c>
      <c r="J130" s="23">
        <f t="shared" si="63"/>
        <v>162500</v>
      </c>
      <c r="K130" s="23">
        <f t="shared" si="63"/>
        <v>630000</v>
      </c>
      <c r="L130" s="23">
        <f t="shared" si="63"/>
        <v>580000</v>
      </c>
      <c r="M130" s="38">
        <f t="shared" si="63"/>
        <v>530000</v>
      </c>
      <c r="N130" s="38">
        <f t="shared" si="63"/>
        <v>100000</v>
      </c>
      <c r="O130" s="38">
        <f t="shared" si="63"/>
        <v>2002500</v>
      </c>
    </row>
    <row r="131" spans="1:15" s="18" customFormat="1" ht="17.25" customHeight="1">
      <c r="A131" s="8"/>
      <c r="B131" s="8"/>
      <c r="C131" s="8" t="s">
        <v>2</v>
      </c>
      <c r="D131" s="8"/>
      <c r="E131" s="66"/>
      <c r="F131" s="66"/>
      <c r="G131" s="14">
        <f>H131+I131+J131+K131+L131+M131+N131</f>
        <v>2002500</v>
      </c>
      <c r="H131" s="9">
        <v>0</v>
      </c>
      <c r="I131" s="9">
        <f aca="true" t="shared" si="64" ref="I131:N131">I132+I133</f>
        <v>0</v>
      </c>
      <c r="J131" s="9">
        <f t="shared" si="64"/>
        <v>162500</v>
      </c>
      <c r="K131" s="9">
        <f t="shared" si="64"/>
        <v>630000</v>
      </c>
      <c r="L131" s="9">
        <f t="shared" si="64"/>
        <v>580000</v>
      </c>
      <c r="M131" s="9">
        <f t="shared" si="64"/>
        <v>530000</v>
      </c>
      <c r="N131" s="9">
        <f t="shared" si="64"/>
        <v>100000</v>
      </c>
      <c r="O131" s="40">
        <f>G131-H131-I131</f>
        <v>2002500</v>
      </c>
    </row>
    <row r="132" spans="1:15" s="18" customFormat="1" ht="50.25" customHeight="1">
      <c r="A132" s="90">
        <v>1</v>
      </c>
      <c r="B132" s="90"/>
      <c r="C132" s="91" t="s">
        <v>64</v>
      </c>
      <c r="D132" s="91" t="s">
        <v>35</v>
      </c>
      <c r="E132" s="92">
        <v>2011</v>
      </c>
      <c r="F132" s="92">
        <v>2015</v>
      </c>
      <c r="G132" s="93">
        <f>H132+I132+J132+K132+L132+M132</f>
        <v>962500</v>
      </c>
      <c r="H132" s="94">
        <v>0</v>
      </c>
      <c r="I132" s="94">
        <v>0</v>
      </c>
      <c r="J132" s="94">
        <f>330000-165000-82500</f>
        <v>82500</v>
      </c>
      <c r="K132" s="94">
        <v>320000</v>
      </c>
      <c r="L132" s="94">
        <v>300000</v>
      </c>
      <c r="M132" s="94">
        <v>260000</v>
      </c>
      <c r="N132" s="94">
        <v>0</v>
      </c>
      <c r="O132" s="14">
        <f>G132-H132-I132</f>
        <v>962500</v>
      </c>
    </row>
    <row r="133" spans="1:15" s="95" customFormat="1" ht="50.25" customHeight="1">
      <c r="A133" s="8">
        <v>2</v>
      </c>
      <c r="B133" s="8"/>
      <c r="C133" s="15" t="s">
        <v>66</v>
      </c>
      <c r="D133" s="15" t="s">
        <v>35</v>
      </c>
      <c r="E133" s="66">
        <v>2011</v>
      </c>
      <c r="F133" s="66">
        <v>2016</v>
      </c>
      <c r="G133" s="14">
        <f>H133+I133+J133+K133+L133+M133+N133</f>
        <v>1040000</v>
      </c>
      <c r="H133" s="9">
        <v>0</v>
      </c>
      <c r="I133" s="9">
        <v>0</v>
      </c>
      <c r="J133" s="9">
        <f>320000-160000-80000</f>
        <v>80000</v>
      </c>
      <c r="K133" s="9">
        <v>310000</v>
      </c>
      <c r="L133" s="9">
        <v>280000</v>
      </c>
      <c r="M133" s="9">
        <v>270000</v>
      </c>
      <c r="N133" s="9">
        <v>100000</v>
      </c>
      <c r="O133" s="14">
        <f>G133-H133-I133</f>
        <v>1040000</v>
      </c>
    </row>
    <row r="134" spans="1:15" s="37" customFormat="1" ht="55.5" customHeight="1">
      <c r="A134" s="129" t="s">
        <v>67</v>
      </c>
      <c r="B134" s="130"/>
      <c r="C134" s="131"/>
      <c r="D134" s="43"/>
      <c r="E134" s="74"/>
      <c r="F134" s="74"/>
      <c r="G134" s="44">
        <f aca="true" t="shared" si="65" ref="G134:G154">H134+I134+J134+K134+L134+M134</f>
        <v>29236502.310000002</v>
      </c>
      <c r="H134" s="45">
        <f aca="true" t="shared" si="66" ref="H134:O134">H135</f>
        <v>7564568</v>
      </c>
      <c r="I134" s="45">
        <f t="shared" si="66"/>
        <v>4063042.8600000003</v>
      </c>
      <c r="J134" s="45">
        <f>J135</f>
        <v>7789477.6</v>
      </c>
      <c r="K134" s="45">
        <f t="shared" si="66"/>
        <v>8264413.85</v>
      </c>
      <c r="L134" s="45">
        <f t="shared" si="66"/>
        <v>1020000</v>
      </c>
      <c r="M134" s="46">
        <f t="shared" si="66"/>
        <v>535000</v>
      </c>
      <c r="N134" s="46">
        <f t="shared" si="66"/>
        <v>0</v>
      </c>
      <c r="O134" s="46">
        <f t="shared" si="66"/>
        <v>17608891.45</v>
      </c>
    </row>
    <row r="135" spans="1:15" s="18" customFormat="1" ht="20.25" customHeight="1">
      <c r="A135" s="17"/>
      <c r="B135" s="22"/>
      <c r="C135" s="8" t="s">
        <v>2</v>
      </c>
      <c r="D135" s="15"/>
      <c r="E135" s="66"/>
      <c r="F135" s="66"/>
      <c r="G135" s="9">
        <f>G136+G139+G141++G144+G147+G150</f>
        <v>29236502.31</v>
      </c>
      <c r="H135" s="9">
        <f aca="true" t="shared" si="67" ref="H135:M135">H136+H141+H147+H150</f>
        <v>7564568</v>
      </c>
      <c r="I135" s="9">
        <f>I136+I141+I144+I147+I150</f>
        <v>4063042.8600000003</v>
      </c>
      <c r="J135" s="9">
        <f>J136+J141+J144+J147+J150</f>
        <v>7789477.6</v>
      </c>
      <c r="K135" s="9">
        <f>K136+K139+K141+K147+K150+K144</f>
        <v>8264413.85</v>
      </c>
      <c r="L135" s="9">
        <f t="shared" si="67"/>
        <v>1020000</v>
      </c>
      <c r="M135" s="9">
        <f t="shared" si="67"/>
        <v>535000</v>
      </c>
      <c r="N135" s="41">
        <f>N136+N141+N147+N150</f>
        <v>0</v>
      </c>
      <c r="O135" s="40">
        <f>G135-H135-I135</f>
        <v>17608891.45</v>
      </c>
    </row>
    <row r="136" spans="1:15" s="26" customFormat="1" ht="20.25" customHeight="1">
      <c r="A136" s="127">
        <v>600</v>
      </c>
      <c r="B136" s="128"/>
      <c r="C136" s="24" t="s">
        <v>43</v>
      </c>
      <c r="D136" s="36"/>
      <c r="E136" s="62"/>
      <c r="F136" s="62"/>
      <c r="G136" s="25">
        <f t="shared" si="65"/>
        <v>7548540.85</v>
      </c>
      <c r="H136" s="25">
        <f>H137+H138</f>
        <v>2520002</v>
      </c>
      <c r="I136" s="25">
        <f aca="true" t="shared" si="68" ref="I136:O136">I137+I138</f>
        <v>1378538.85</v>
      </c>
      <c r="J136" s="25">
        <f t="shared" si="68"/>
        <v>1650000</v>
      </c>
      <c r="K136" s="25">
        <f t="shared" si="68"/>
        <v>2000000</v>
      </c>
      <c r="L136" s="25">
        <f t="shared" si="68"/>
        <v>0</v>
      </c>
      <c r="M136" s="25">
        <f t="shared" si="68"/>
        <v>0</v>
      </c>
      <c r="N136" s="25">
        <f t="shared" si="68"/>
        <v>0</v>
      </c>
      <c r="O136" s="25">
        <f t="shared" si="68"/>
        <v>3649999.9999999995</v>
      </c>
    </row>
    <row r="137" spans="1:15" s="75" customFormat="1" ht="27.75" customHeight="1">
      <c r="A137" s="17"/>
      <c r="B137" s="80">
        <v>60016</v>
      </c>
      <c r="C137" s="8" t="s">
        <v>44</v>
      </c>
      <c r="D137" s="15" t="s">
        <v>35</v>
      </c>
      <c r="E137" s="66"/>
      <c r="F137" s="66"/>
      <c r="G137" s="14">
        <f t="shared" si="65"/>
        <v>2651828.83</v>
      </c>
      <c r="H137" s="9">
        <v>974004</v>
      </c>
      <c r="I137" s="9">
        <f>605000+2000000-1600000-777175.17</f>
        <v>227824.82999999996</v>
      </c>
      <c r="J137" s="9">
        <v>450000</v>
      </c>
      <c r="K137" s="9">
        <v>1000000</v>
      </c>
      <c r="L137" s="9">
        <v>0</v>
      </c>
      <c r="M137" s="9">
        <v>0</v>
      </c>
      <c r="N137" s="9">
        <v>0</v>
      </c>
      <c r="O137" s="14">
        <f>G137-H137-I137</f>
        <v>1450000</v>
      </c>
    </row>
    <row r="138" spans="1:15" s="18" customFormat="1" ht="30.75" customHeight="1">
      <c r="A138" s="17"/>
      <c r="B138" s="80">
        <v>60015</v>
      </c>
      <c r="C138" s="8" t="s">
        <v>45</v>
      </c>
      <c r="D138" s="15" t="s">
        <v>35</v>
      </c>
      <c r="E138" s="66"/>
      <c r="F138" s="66"/>
      <c r="G138" s="14">
        <f t="shared" si="65"/>
        <v>4896712.02</v>
      </c>
      <c r="H138" s="9">
        <v>1545998</v>
      </c>
      <c r="I138" s="9">
        <f>589000+2000000-1438285.98</f>
        <v>1150714.02</v>
      </c>
      <c r="J138" s="9">
        <v>1200000</v>
      </c>
      <c r="K138" s="9">
        <v>1000000</v>
      </c>
      <c r="L138" s="9">
        <v>0</v>
      </c>
      <c r="M138" s="9">
        <v>0</v>
      </c>
      <c r="N138" s="9">
        <v>0</v>
      </c>
      <c r="O138" s="14">
        <f>G138-H138-I138</f>
        <v>2199999.9999999995</v>
      </c>
    </row>
    <row r="139" spans="1:15" s="26" customFormat="1" ht="24.75" customHeight="1">
      <c r="A139" s="110">
        <v>700</v>
      </c>
      <c r="B139" s="110"/>
      <c r="C139" s="24" t="s">
        <v>31</v>
      </c>
      <c r="D139" s="24"/>
      <c r="E139" s="62"/>
      <c r="F139" s="62"/>
      <c r="G139" s="25">
        <f t="shared" si="65"/>
        <v>4413.85</v>
      </c>
      <c r="H139" s="25">
        <v>0</v>
      </c>
      <c r="I139" s="25">
        <v>0</v>
      </c>
      <c r="J139" s="25">
        <v>0</v>
      </c>
      <c r="K139" s="25">
        <f aca="true" t="shared" si="69" ref="K139:O140">K140</f>
        <v>4413.85</v>
      </c>
      <c r="L139" s="42">
        <f t="shared" si="69"/>
        <v>0</v>
      </c>
      <c r="M139" s="42">
        <f t="shared" si="69"/>
        <v>0</v>
      </c>
      <c r="N139" s="42">
        <f t="shared" si="69"/>
        <v>0</v>
      </c>
      <c r="O139" s="42">
        <f t="shared" si="69"/>
        <v>4413.85</v>
      </c>
    </row>
    <row r="140" spans="1:15" s="2" customFormat="1" ht="24.75" customHeight="1">
      <c r="A140" s="7"/>
      <c r="B140" s="8">
        <v>70005</v>
      </c>
      <c r="C140" s="8" t="s">
        <v>32</v>
      </c>
      <c r="D140" s="15" t="s">
        <v>35</v>
      </c>
      <c r="E140" s="66">
        <v>2012</v>
      </c>
      <c r="F140" s="66">
        <v>2014</v>
      </c>
      <c r="G140" s="14">
        <f t="shared" si="65"/>
        <v>4413.85</v>
      </c>
      <c r="H140" s="14">
        <v>0</v>
      </c>
      <c r="I140" s="14">
        <v>0</v>
      </c>
      <c r="J140" s="14">
        <v>0</v>
      </c>
      <c r="K140" s="14">
        <v>4413.85</v>
      </c>
      <c r="L140" s="14">
        <v>0</v>
      </c>
      <c r="M140" s="14">
        <v>0</v>
      </c>
      <c r="N140" s="14">
        <f t="shared" si="69"/>
        <v>0</v>
      </c>
      <c r="O140" s="14">
        <v>4413.85</v>
      </c>
    </row>
    <row r="141" spans="1:15" s="26" customFormat="1" ht="31.5" customHeight="1">
      <c r="A141" s="110">
        <v>750</v>
      </c>
      <c r="B141" s="110"/>
      <c r="C141" s="24" t="s">
        <v>47</v>
      </c>
      <c r="D141" s="36"/>
      <c r="E141" s="62"/>
      <c r="F141" s="62"/>
      <c r="G141" s="25">
        <f>H141+I141+J141+K141+L141+M141</f>
        <v>2951534.3</v>
      </c>
      <c r="H141" s="25">
        <f>H142</f>
        <v>739568</v>
      </c>
      <c r="I141" s="25">
        <f>I142</f>
        <v>138006</v>
      </c>
      <c r="J141" s="25">
        <f>J142+J143</f>
        <v>518960.3</v>
      </c>
      <c r="K141" s="25">
        <f>K142</f>
        <v>500000</v>
      </c>
      <c r="L141" s="25">
        <f>L142</f>
        <v>520000</v>
      </c>
      <c r="M141" s="25">
        <f>M142</f>
        <v>535000</v>
      </c>
      <c r="N141" s="25">
        <f>N142</f>
        <v>0</v>
      </c>
      <c r="O141" s="25">
        <f>O142+O143</f>
        <v>2073960.3</v>
      </c>
    </row>
    <row r="142" spans="1:15" s="18" customFormat="1" ht="31.5" customHeight="1">
      <c r="A142" s="8"/>
      <c r="B142" s="8">
        <v>75023</v>
      </c>
      <c r="C142" s="8" t="s">
        <v>48</v>
      </c>
      <c r="D142" s="15" t="s">
        <v>35</v>
      </c>
      <c r="E142" s="66"/>
      <c r="F142" s="66"/>
      <c r="G142" s="14">
        <f t="shared" si="65"/>
        <v>2917574</v>
      </c>
      <c r="H142" s="9">
        <v>739568</v>
      </c>
      <c r="I142" s="9">
        <f>470000-331994</f>
        <v>138006</v>
      </c>
      <c r="J142" s="9">
        <v>485000</v>
      </c>
      <c r="K142" s="9">
        <v>500000</v>
      </c>
      <c r="L142" s="9">
        <v>520000</v>
      </c>
      <c r="M142" s="9">
        <v>535000</v>
      </c>
      <c r="N142" s="9">
        <v>0</v>
      </c>
      <c r="O142" s="14">
        <f>G142-H142-I142</f>
        <v>2040000</v>
      </c>
    </row>
    <row r="143" spans="1:15" s="75" customFormat="1" ht="31.5" customHeight="1">
      <c r="A143" s="8"/>
      <c r="B143" s="8">
        <v>75095</v>
      </c>
      <c r="C143" s="8" t="s">
        <v>102</v>
      </c>
      <c r="D143" s="15" t="s">
        <v>35</v>
      </c>
      <c r="E143" s="8">
        <v>2011</v>
      </c>
      <c r="F143" s="8">
        <v>2012</v>
      </c>
      <c r="G143" s="14">
        <v>33960.3</v>
      </c>
      <c r="H143" s="9"/>
      <c r="I143" s="9"/>
      <c r="J143" s="9">
        <v>33960.3</v>
      </c>
      <c r="K143" s="9"/>
      <c r="L143" s="9"/>
      <c r="M143" s="9"/>
      <c r="N143" s="9"/>
      <c r="O143" s="14">
        <f>J143</f>
        <v>33960.3</v>
      </c>
    </row>
    <row r="144" spans="1:15" s="26" customFormat="1" ht="31.5" customHeight="1">
      <c r="A144" s="110">
        <v>801</v>
      </c>
      <c r="B144" s="110"/>
      <c r="C144" s="24" t="s">
        <v>17</v>
      </c>
      <c r="D144" s="36"/>
      <c r="E144" s="62"/>
      <c r="F144" s="62"/>
      <c r="G144" s="25">
        <f>H144+I144+J144+K144+L144+M144</f>
        <v>258000</v>
      </c>
      <c r="H144" s="25">
        <f>H146</f>
        <v>0</v>
      </c>
      <c r="I144" s="25">
        <f>I146+I145</f>
        <v>106667.7</v>
      </c>
      <c r="J144" s="25">
        <f aca="true" t="shared" si="70" ref="J144:O144">J146+J145</f>
        <v>81332.3</v>
      </c>
      <c r="K144" s="25">
        <f t="shared" si="70"/>
        <v>70000</v>
      </c>
      <c r="L144" s="25">
        <f t="shared" si="70"/>
        <v>0</v>
      </c>
      <c r="M144" s="25">
        <f t="shared" si="70"/>
        <v>0</v>
      </c>
      <c r="N144" s="25">
        <f t="shared" si="70"/>
        <v>0</v>
      </c>
      <c r="O144" s="25">
        <f t="shared" si="70"/>
        <v>151332.3</v>
      </c>
    </row>
    <row r="145" spans="1:15" s="2" customFormat="1" ht="31.5" customHeight="1">
      <c r="A145" s="65"/>
      <c r="B145" s="87">
        <v>80113</v>
      </c>
      <c r="C145" s="8" t="s">
        <v>109</v>
      </c>
      <c r="D145" s="15" t="s">
        <v>35</v>
      </c>
      <c r="E145" s="65">
        <v>2012</v>
      </c>
      <c r="F145" s="65">
        <v>2013</v>
      </c>
      <c r="G145" s="14">
        <f>H145+I145+J145+K145+L145+M145</f>
        <v>140000</v>
      </c>
      <c r="H145" s="9">
        <v>0</v>
      </c>
      <c r="I145" s="9">
        <v>0</v>
      </c>
      <c r="J145" s="9">
        <v>70000</v>
      </c>
      <c r="K145" s="9">
        <v>70000</v>
      </c>
      <c r="L145" s="9">
        <v>0</v>
      </c>
      <c r="M145" s="9">
        <v>0</v>
      </c>
      <c r="N145" s="9">
        <v>0</v>
      </c>
      <c r="O145" s="14">
        <f>G145-H145-I145</f>
        <v>140000</v>
      </c>
    </row>
    <row r="146" spans="1:15" s="18" customFormat="1" ht="31.5" customHeight="1">
      <c r="A146" s="8"/>
      <c r="B146" s="8">
        <v>80120</v>
      </c>
      <c r="C146" s="8" t="s">
        <v>101</v>
      </c>
      <c r="D146" s="15" t="s">
        <v>35</v>
      </c>
      <c r="E146" s="66">
        <v>2011</v>
      </c>
      <c r="F146" s="66">
        <v>2012</v>
      </c>
      <c r="G146" s="14">
        <f>H146+I146+J146+K146+L146+M146</f>
        <v>118000</v>
      </c>
      <c r="H146" s="9">
        <v>0</v>
      </c>
      <c r="I146" s="9">
        <v>106667.7</v>
      </c>
      <c r="J146" s="9">
        <v>11332.3</v>
      </c>
      <c r="K146" s="9">
        <v>0</v>
      </c>
      <c r="L146" s="9">
        <v>0</v>
      </c>
      <c r="M146" s="9">
        <v>0</v>
      </c>
      <c r="N146" s="9">
        <v>0</v>
      </c>
      <c r="O146" s="14">
        <f>G146-H146-I146</f>
        <v>11332.300000000003</v>
      </c>
    </row>
    <row r="147" spans="1:15" s="26" customFormat="1" ht="30.75" customHeight="1">
      <c r="A147" s="101">
        <v>852</v>
      </c>
      <c r="B147" s="102"/>
      <c r="C147" s="24" t="s">
        <v>46</v>
      </c>
      <c r="D147" s="36"/>
      <c r="E147" s="62"/>
      <c r="F147" s="62"/>
      <c r="G147" s="25">
        <f t="shared" si="65"/>
        <v>1387866.54</v>
      </c>
      <c r="H147" s="25">
        <f aca="true" t="shared" si="71" ref="H147:M147">H148+H149</f>
        <v>430000</v>
      </c>
      <c r="I147" s="25">
        <f t="shared" si="71"/>
        <v>269505.54000000004</v>
      </c>
      <c r="J147" s="25">
        <f t="shared" si="71"/>
        <v>198361</v>
      </c>
      <c r="K147" s="25">
        <f t="shared" si="71"/>
        <v>490000</v>
      </c>
      <c r="L147" s="25">
        <f t="shared" si="71"/>
        <v>0</v>
      </c>
      <c r="M147" s="25">
        <f t="shared" si="71"/>
        <v>0</v>
      </c>
      <c r="N147" s="42">
        <f>N148+N149</f>
        <v>0</v>
      </c>
      <c r="O147" s="42">
        <f>O148+O149</f>
        <v>688361</v>
      </c>
    </row>
    <row r="148" spans="1:15" s="18" customFormat="1" ht="31.5" customHeight="1">
      <c r="A148" s="8"/>
      <c r="B148" s="8">
        <v>85201</v>
      </c>
      <c r="C148" s="8" t="s">
        <v>49</v>
      </c>
      <c r="D148" s="15" t="s">
        <v>35</v>
      </c>
      <c r="E148" s="66"/>
      <c r="F148" s="66"/>
      <c r="G148" s="14">
        <f t="shared" si="65"/>
        <v>706361</v>
      </c>
      <c r="H148" s="9">
        <v>250000</v>
      </c>
      <c r="I148" s="9">
        <v>138000</v>
      </c>
      <c r="J148" s="9">
        <f>286000-10000-247639</f>
        <v>28361</v>
      </c>
      <c r="K148" s="9">
        <v>290000</v>
      </c>
      <c r="L148" s="9">
        <v>0</v>
      </c>
      <c r="M148" s="9">
        <v>0</v>
      </c>
      <c r="N148" s="9">
        <v>0</v>
      </c>
      <c r="O148" s="14">
        <f>G148-H148-I148</f>
        <v>318361</v>
      </c>
    </row>
    <row r="149" spans="1:15" s="18" customFormat="1" ht="31.5" customHeight="1">
      <c r="A149" s="8"/>
      <c r="B149" s="8">
        <v>85204</v>
      </c>
      <c r="C149" s="8" t="s">
        <v>50</v>
      </c>
      <c r="D149" s="15" t="s">
        <v>35</v>
      </c>
      <c r="E149" s="66"/>
      <c r="F149" s="66"/>
      <c r="G149" s="14">
        <f t="shared" si="65"/>
        <v>681505.54</v>
      </c>
      <c r="H149" s="9">
        <v>180000</v>
      </c>
      <c r="I149" s="9">
        <f>160000-28494.46</f>
        <v>131505.54</v>
      </c>
      <c r="J149" s="9">
        <f>200000+10000-40000</f>
        <v>170000</v>
      </c>
      <c r="K149" s="9">
        <v>200000</v>
      </c>
      <c r="L149" s="9">
        <v>0</v>
      </c>
      <c r="M149" s="9">
        <v>0</v>
      </c>
      <c r="N149" s="9">
        <v>0</v>
      </c>
      <c r="O149" s="14">
        <f>G149-H149-I149</f>
        <v>370000</v>
      </c>
    </row>
    <row r="150" spans="1:15" s="26" customFormat="1" ht="31.5" customHeight="1">
      <c r="A150" s="101">
        <v>900</v>
      </c>
      <c r="B150" s="102"/>
      <c r="C150" s="24" t="s">
        <v>51</v>
      </c>
      <c r="D150" s="36"/>
      <c r="E150" s="62"/>
      <c r="F150" s="62"/>
      <c r="G150" s="25">
        <f t="shared" si="65"/>
        <v>17086146.77</v>
      </c>
      <c r="H150" s="25">
        <f>H151+H152+H153+H154</f>
        <v>3874998</v>
      </c>
      <c r="I150" s="25">
        <f aca="true" t="shared" si="72" ref="I150:O150">I151+I152+I153+I154</f>
        <v>2170324.77</v>
      </c>
      <c r="J150" s="25">
        <f t="shared" si="72"/>
        <v>5340824</v>
      </c>
      <c r="K150" s="25">
        <f t="shared" si="72"/>
        <v>5200000</v>
      </c>
      <c r="L150" s="25">
        <f t="shared" si="72"/>
        <v>500000</v>
      </c>
      <c r="M150" s="25">
        <f t="shared" si="72"/>
        <v>0</v>
      </c>
      <c r="N150" s="25">
        <f t="shared" si="72"/>
        <v>0</v>
      </c>
      <c r="O150" s="25">
        <f t="shared" si="72"/>
        <v>11040824</v>
      </c>
    </row>
    <row r="151" spans="1:15" s="18" customFormat="1" ht="31.5" customHeight="1">
      <c r="A151" s="8"/>
      <c r="B151" s="8">
        <v>90003</v>
      </c>
      <c r="C151" s="8" t="s">
        <v>52</v>
      </c>
      <c r="D151" s="15" t="s">
        <v>35</v>
      </c>
      <c r="E151" s="66"/>
      <c r="F151" s="66"/>
      <c r="G151" s="14">
        <f t="shared" si="65"/>
        <v>7814943</v>
      </c>
      <c r="H151" s="9">
        <v>1999943</v>
      </c>
      <c r="I151" s="9">
        <v>1800000</v>
      </c>
      <c r="J151" s="9">
        <f>2020000-5000</f>
        <v>2015000</v>
      </c>
      <c r="K151" s="9">
        <v>2000000</v>
      </c>
      <c r="L151" s="9">
        <v>0</v>
      </c>
      <c r="M151" s="9">
        <v>0</v>
      </c>
      <c r="N151" s="9">
        <v>0</v>
      </c>
      <c r="O151" s="14">
        <f>G151-H151-I151</f>
        <v>4015000</v>
      </c>
    </row>
    <row r="152" spans="1:15" s="18" customFormat="1" ht="31.5" customHeight="1">
      <c r="A152" s="8"/>
      <c r="B152" s="8">
        <v>90004</v>
      </c>
      <c r="C152" s="8" t="s">
        <v>53</v>
      </c>
      <c r="D152" s="15" t="s">
        <v>35</v>
      </c>
      <c r="E152" s="66"/>
      <c r="F152" s="66"/>
      <c r="G152" s="14">
        <f t="shared" si="65"/>
        <v>3327980</v>
      </c>
      <c r="H152" s="9">
        <v>1252156</v>
      </c>
      <c r="I152" s="9">
        <v>0</v>
      </c>
      <c r="J152" s="9">
        <f>1075824</f>
        <v>1075824</v>
      </c>
      <c r="K152" s="9">
        <v>1000000</v>
      </c>
      <c r="L152" s="9"/>
      <c r="M152" s="9">
        <v>0</v>
      </c>
      <c r="N152" s="9">
        <v>0</v>
      </c>
      <c r="O152" s="14">
        <f>G152-H152-I152</f>
        <v>2075824</v>
      </c>
    </row>
    <row r="153" spans="1:15" s="18" customFormat="1" ht="31.5" customHeight="1">
      <c r="A153" s="8"/>
      <c r="B153" s="8">
        <v>90013</v>
      </c>
      <c r="C153" s="8" t="s">
        <v>54</v>
      </c>
      <c r="D153" s="15" t="s">
        <v>35</v>
      </c>
      <c r="E153" s="66"/>
      <c r="F153" s="66"/>
      <c r="G153" s="14">
        <f t="shared" si="65"/>
        <v>822899</v>
      </c>
      <c r="H153" s="9">
        <v>222899</v>
      </c>
      <c r="I153" s="9">
        <v>0</v>
      </c>
      <c r="J153" s="9">
        <v>300000</v>
      </c>
      <c r="K153" s="9">
        <v>300000</v>
      </c>
      <c r="L153" s="9">
        <v>0</v>
      </c>
      <c r="M153" s="9">
        <v>0</v>
      </c>
      <c r="N153" s="9">
        <v>0</v>
      </c>
      <c r="O153" s="14">
        <f>G153-H153-I153</f>
        <v>600000</v>
      </c>
    </row>
    <row r="154" spans="1:15" s="18" customFormat="1" ht="31.5" customHeight="1">
      <c r="A154" s="8"/>
      <c r="B154" s="8">
        <v>90015</v>
      </c>
      <c r="C154" s="8" t="s">
        <v>55</v>
      </c>
      <c r="D154" s="15" t="s">
        <v>35</v>
      </c>
      <c r="E154" s="66"/>
      <c r="F154" s="66"/>
      <c r="G154" s="14">
        <f t="shared" si="65"/>
        <v>5120324.77</v>
      </c>
      <c r="H154" s="9">
        <v>400000</v>
      </c>
      <c r="I154" s="9">
        <f>450000-79675.23</f>
        <v>370324.77</v>
      </c>
      <c r="J154" s="9">
        <v>1950000</v>
      </c>
      <c r="K154" s="9">
        <v>1900000</v>
      </c>
      <c r="L154" s="9">
        <v>500000</v>
      </c>
      <c r="M154" s="9">
        <v>0</v>
      </c>
      <c r="N154" s="9">
        <v>0</v>
      </c>
      <c r="O154" s="14">
        <f>G154-H154-I154</f>
        <v>4350000</v>
      </c>
    </row>
  </sheetData>
  <sheetProtection/>
  <mergeCells count="41">
    <mergeCell ref="A1:C1"/>
    <mergeCell ref="A108:B108"/>
    <mergeCell ref="A14:C14"/>
    <mergeCell ref="A78:B78"/>
    <mergeCell ref="A75:C75"/>
    <mergeCell ref="A76:C76"/>
    <mergeCell ref="A22:B22"/>
    <mergeCell ref="A150:B150"/>
    <mergeCell ref="A136:B136"/>
    <mergeCell ref="A134:C134"/>
    <mergeCell ref="A126:B126"/>
    <mergeCell ref="A130:C130"/>
    <mergeCell ref="A15:B15"/>
    <mergeCell ref="A141:B141"/>
    <mergeCell ref="A60:B60"/>
    <mergeCell ref="A144:B144"/>
    <mergeCell ref="A147:B147"/>
    <mergeCell ref="A139:B139"/>
    <mergeCell ref="A2:B2"/>
    <mergeCell ref="A9:C9"/>
    <mergeCell ref="A10:C10"/>
    <mergeCell ref="A3:O3"/>
    <mergeCell ref="G4:G5"/>
    <mergeCell ref="A29:B29"/>
    <mergeCell ref="A4:A5"/>
    <mergeCell ref="A116:B116"/>
    <mergeCell ref="J4:N4"/>
    <mergeCell ref="A121:B121"/>
    <mergeCell ref="A13:C13"/>
    <mergeCell ref="A68:B68"/>
    <mergeCell ref="A6:C6"/>
    <mergeCell ref="A104:B104"/>
    <mergeCell ref="A11:C11"/>
    <mergeCell ref="E4:F4"/>
    <mergeCell ref="C4:C5"/>
    <mergeCell ref="B4:B5"/>
    <mergeCell ref="A113:B113"/>
    <mergeCell ref="M2:N2"/>
    <mergeCell ref="D4:D5"/>
    <mergeCell ref="A77:C77"/>
    <mergeCell ref="A12:C12"/>
  </mergeCells>
  <printOptions/>
  <pageMargins left="0.5905511811023623" right="0" top="0.3937007874015748" bottom="0.1968503937007874" header="0.1968503937007874" footer="0.7874015748031497"/>
  <pageSetup horizontalDpi="600" verticalDpi="600" orientation="landscape" paperSize="9" scale="67" r:id="rId1"/>
  <rowBreaks count="5" manualBreakCount="5">
    <brk id="28" max="255" man="1"/>
    <brk id="55" max="14" man="1"/>
    <brk id="82" max="14" man="1"/>
    <brk id="107" max="255" man="1"/>
    <brk id="1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zoomScalePageLayoutView="0" workbookViewId="0" topLeftCell="A1">
      <selection activeCell="G17" sqref="G17"/>
    </sheetView>
  </sheetViews>
  <sheetFormatPr defaultColWidth="11.57421875" defaultRowHeight="12.75"/>
  <cols>
    <col min="1" max="16384" width="11.57421875" style="1" customWidth="1"/>
  </cols>
  <sheetData>
    <row r="3" ht="25.5" customHeight="1"/>
  </sheetData>
  <sheetProtection/>
  <printOptions/>
  <pageMargins left="0.7875" right="0.7875" top="1.0527777777777778" bottom="1.0527777777777778" header="0.7875" footer="0.7875"/>
  <pageSetup horizontalDpi="600" verticalDpi="600" orientation="portrait" paperSize="9" r:id="rId1"/>
  <headerFooter alignWithMargins="0">
    <oddHeader>&amp;L&amp;C&amp;"Times New Roman,Normal"&amp;12&amp;A&amp;R</oddHeader>
    <oddFooter>&amp;L&amp;C&amp;"Times New Roman,Normal"&amp;12Strona &amp;P&amp;R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" zoomScalePageLayoutView="0" workbookViewId="0" topLeftCell="A1">
      <selection activeCell="F18" sqref="F18"/>
    </sheetView>
  </sheetViews>
  <sheetFormatPr defaultColWidth="11.57421875" defaultRowHeight="12.75"/>
  <cols>
    <col min="1" max="16384" width="11.57421875" style="1" customWidth="1"/>
  </cols>
  <sheetData/>
  <sheetProtection/>
  <printOptions/>
  <pageMargins left="0.7875" right="0.7875" top="1.0527777777777778" bottom="1.0527777777777778" header="0.7875" footer="0.7875"/>
  <pageSetup horizontalDpi="600" verticalDpi="600" orientation="portrait" paperSize="9" r:id="rId1"/>
  <headerFooter alignWithMargins="0">
    <oddHeader>&amp;L&amp;C&amp;"Times New Roman,Normal"&amp;12&amp;A&amp;R</oddHeader>
    <oddFooter>&amp;L&amp;C&amp;"Times New Roman,Normal"&amp;12Strona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214748376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um</dc:creator>
  <cp:keywords/>
  <dc:description/>
  <cp:lastModifiedBy>broni_m</cp:lastModifiedBy>
  <cp:lastPrinted>2012-10-22T10:22:31Z</cp:lastPrinted>
  <dcterms:created xsi:type="dcterms:W3CDTF">2010-09-20T10:00:17Z</dcterms:created>
  <dcterms:modified xsi:type="dcterms:W3CDTF">2012-10-22T14:36:27Z</dcterms:modified>
  <cp:category/>
  <cp:version/>
  <cp:contentType/>
  <cp:contentStatus/>
  <cp:revision>1</cp:revision>
</cp:coreProperties>
</file>