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<sst xmlns="http://schemas.openxmlformats.org/spreadsheetml/2006/main" count="226" uniqueCount="113">
  <si>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</si>
  <si>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</si>
  <si>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</si>
  <si>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</si>
  <si>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</si>
  <si>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</si>
  <si>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</si>
  <si>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</si>
  <si>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</si>
  <si>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</si>
  <si>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</si>
  <si>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</si>
  <si>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</si>
  <si>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</si>
  <si>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</si>
  <si>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</si>
  <si>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</si>
  <si>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</si>
  <si>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</si>
  <si>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</si>
  <si>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</si>
  <si>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</si>
  <si>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</si>
  <si>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</si>
  <si>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</si>
  <si>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</si>
  <si>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</si>
  <si>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</si>
  <si>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</si>
  <si>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</si>
  <si>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</si>
  <si>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</si>
  <si>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</si>
  <si>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</si>
  <si>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</si>
  <si>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</si>
  <si>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</si>
  <si>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</si>
  <si>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</si>
  <si>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</si>
  <si>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</si>
  <si>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</si>
  <si>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</si>
  <si>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</si>
  <si>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</si>
  <si>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</si>
  <si>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</si>
  <si>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</si>
  <si>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</si>
  <si>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</si>
  <si>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</si>
  <si>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</si>
  <si>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</si>
  <si>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</si>
  <si>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</si>
  <si>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</si>
  <si>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</si>
  <si>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</si>
  <si>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</si>
  <si>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</si>
  <si>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</si>
  <si>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</si>
  <si>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</si>
  <si>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</si>
  <si>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</si>
  <si>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</si>
  <si>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</si>
  <si>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</si>
  <si>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</si>
  <si>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</si>
  <si>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</si>
  <si>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</si>
  <si>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</si>
  <si>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</si>
  <si>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</si>
  <si>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</si>
  <si>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</si>
  <si>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</si>
  <si>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</si>
  <si>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</si>
  <si>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</si>
  <si>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</si>
  <si>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istniejącej sieci drogowej - Most na rzece Łupii w ul. 1-go Maja</t>
  </si>
  <si>
    <t xml:space="preserve">Budowa chodnika w ul. Widok na odc. od ul. Wiadukt do ul. Łowickiej 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</si>
  <si>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</si>
  <si>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</si>
  <si>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</si>
  <si>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</si>
  <si>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</si>
  <si>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</si>
  <si>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</si>
  <si>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</si>
  <si>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</si>
  <si>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</si>
  <si>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</si>
  <si>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</si>
  <si>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</si>
  <si>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Licea ogólnokształcące</t>
  </si>
  <si>
    <t>Pozostała dizałalność</t>
  </si>
  <si>
    <t>Rozbudowa ul. Waryńskiego odc. od ul. Sierakowickiej do granicy miasta</t>
  </si>
  <si>
    <t>Pozostałe działania z zakresu polityki społecznej</t>
  </si>
  <si>
    <t>Powiatowe Urzędy Pracy</t>
  </si>
  <si>
    <t>P.U.P</t>
  </si>
  <si>
    <t>Remont nawierzchni jezdni ul. Łowickiej i Wyszyńskiego w ciągu drogi krajowej nr 70 wraz z kanalizacją deszczową</t>
  </si>
  <si>
    <t>Dowożenie uczniów do szkół</t>
  </si>
  <si>
    <t>Budowa infrastruktury w  obrębie projektowanego obszaru ochrony uzdrowiskowej</t>
  </si>
  <si>
    <t>Remont budynku przy ul. Kozietulskiego 3 w Skierniewicach</t>
  </si>
  <si>
    <t xml:space="preserve">Gospodarka ściekowa i ochrona wód </t>
  </si>
  <si>
    <t>Rewitalizacja i zagospodarowanie zbiornika wodnego Zadębie w Skierniewicach</t>
  </si>
  <si>
    <t>Program Operacyjny Kapitał Ludzki, Projekt "Profesjonalny Pracownik - Przyjazny Urząd V"</t>
  </si>
  <si>
    <t>Program Operacyjny Kapitał Ludzki, Projekt "Profesjonalny Pracownik - Przyjazny Urząd IV"</t>
  </si>
  <si>
    <t>Przebudowa ul. Bohaterów Westerplatte</t>
  </si>
  <si>
    <t>Przebudowa ul. B. Prusa przy budynkach nr 2, 4 i 6 oraz odcinka ul. Iwaszkiewicza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</si>
</sst>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 wrapText="1"/>
      <protection/>
    </xf>
    <xf numFmtId="4" fontId="6" fillId="34" borderId="12" xfId="0" applyNumberFormat="1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/>
    </xf>
    <xf numFmtId="4" fontId="7" fillId="37" borderId="12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wrapText="1" shrinkToFit="1"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37" borderId="12" xfId="0" applyNumberFormat="1" applyFont="1" applyFill="1" applyBorder="1" applyAlignment="1" applyProtection="1">
      <alignment/>
      <protection/>
    </xf>
    <xf numFmtId="0" fontId="6" fillId="37" borderId="12" xfId="0" applyNumberFormat="1" applyFont="1" applyFill="1" applyBorder="1" applyAlignment="1" applyProtection="1">
      <alignment/>
      <protection/>
    </xf>
    <xf numFmtId="0" fontId="6" fillId="37" borderId="12" xfId="0" applyNumberFormat="1" applyFont="1" applyFill="1" applyBorder="1" applyAlignment="1" applyProtection="1">
      <alignment horizontal="center"/>
      <protection/>
    </xf>
    <xf numFmtId="4" fontId="6" fillId="37" borderId="12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3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3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view="pageBreakPreview" zoomScaleNormal="75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55" sqref="A155:IV155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3.710937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89"/>
      <c r="B1" s="89"/>
      <c r="C1" s="89"/>
    </row>
    <row r="2" spans="1:14" ht="12.75">
      <c r="A2" s="104" t="s">
        <v>58</v>
      </c>
      <c r="B2" s="104"/>
      <c r="M2" s="104" t="s">
        <v>58</v>
      </c>
      <c r="N2" s="104"/>
    </row>
    <row r="3" spans="1:15" ht="30" customHeight="1">
      <c r="A3" s="111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47.25" customHeight="1">
      <c r="A4" s="114" t="s">
        <v>5</v>
      </c>
      <c r="B4" s="123" t="s">
        <v>21</v>
      </c>
      <c r="C4" s="113" t="s">
        <v>7</v>
      </c>
      <c r="D4" s="113" t="s">
        <v>9</v>
      </c>
      <c r="E4" s="113" t="s">
        <v>29</v>
      </c>
      <c r="F4" s="113"/>
      <c r="G4" s="113" t="s">
        <v>10</v>
      </c>
      <c r="H4" s="10" t="s">
        <v>62</v>
      </c>
      <c r="I4" s="49" t="s">
        <v>75</v>
      </c>
      <c r="J4" s="115" t="s">
        <v>0</v>
      </c>
      <c r="K4" s="116"/>
      <c r="L4" s="116"/>
      <c r="M4" s="116"/>
      <c r="N4" s="117"/>
      <c r="O4" s="5" t="s">
        <v>3</v>
      </c>
    </row>
    <row r="5" spans="1:15" ht="16.5" customHeight="1">
      <c r="A5" s="114"/>
      <c r="B5" s="124"/>
      <c r="C5" s="114"/>
      <c r="D5" s="114"/>
      <c r="E5" s="4" t="s">
        <v>6</v>
      </c>
      <c r="F5" s="4" t="s">
        <v>8</v>
      </c>
      <c r="G5" s="113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18" t="s">
        <v>4</v>
      </c>
      <c r="B6" s="119"/>
      <c r="C6" s="120"/>
      <c r="D6" s="27"/>
      <c r="E6" s="54"/>
      <c r="F6" s="54"/>
      <c r="G6" s="28">
        <f aca="true" t="shared" si="0" ref="G6:G11">H6+I6+J6+K6+L6+M6+N6</f>
        <v>331603564.81</v>
      </c>
      <c r="H6" s="28">
        <f aca="true" t="shared" si="1" ref="H6:O6">H7+H8</f>
        <v>23008832.049999997</v>
      </c>
      <c r="I6" s="28">
        <f t="shared" si="1"/>
        <v>17438059.21</v>
      </c>
      <c r="J6" s="28">
        <f t="shared" si="1"/>
        <v>35437761.41</v>
      </c>
      <c r="K6" s="28">
        <f t="shared" si="1"/>
        <v>81491835.78</v>
      </c>
      <c r="L6" s="28">
        <f t="shared" si="1"/>
        <v>72700721.84</v>
      </c>
      <c r="M6" s="28">
        <f t="shared" si="1"/>
        <v>81426354.52</v>
      </c>
      <c r="N6" s="28">
        <f t="shared" si="1"/>
        <v>20100000</v>
      </c>
      <c r="O6" s="28">
        <f t="shared" si="1"/>
        <v>291156673.55</v>
      </c>
    </row>
    <row r="7" spans="1:15" s="32" customFormat="1" ht="17.25" customHeight="1">
      <c r="A7" s="29"/>
      <c r="B7" s="29"/>
      <c r="C7" s="29" t="s">
        <v>2</v>
      </c>
      <c r="D7" s="29"/>
      <c r="E7" s="55"/>
      <c r="F7" s="55"/>
      <c r="G7" s="28">
        <f t="shared" si="0"/>
        <v>34038768.24</v>
      </c>
      <c r="H7" s="30">
        <f aca="true" t="shared" si="2" ref="H7:O7">H10+H80+H134+H138</f>
        <v>7564568</v>
      </c>
      <c r="I7" s="30">
        <f t="shared" si="2"/>
        <v>4395950.260000001</v>
      </c>
      <c r="J7" s="30">
        <f t="shared" si="2"/>
        <v>9664902.25</v>
      </c>
      <c r="K7" s="30">
        <f t="shared" si="2"/>
        <v>9648347.73</v>
      </c>
      <c r="L7" s="30">
        <f t="shared" si="2"/>
        <v>1600000</v>
      </c>
      <c r="M7" s="30">
        <f t="shared" si="2"/>
        <v>1065000</v>
      </c>
      <c r="N7" s="30">
        <f t="shared" si="2"/>
        <v>100000</v>
      </c>
      <c r="O7" s="30">
        <f t="shared" si="2"/>
        <v>22078249.979999997</v>
      </c>
    </row>
    <row r="8" spans="1:15" s="32" customFormat="1" ht="17.25" customHeight="1">
      <c r="A8" s="29"/>
      <c r="B8" s="29"/>
      <c r="C8" s="29" t="s">
        <v>1</v>
      </c>
      <c r="D8" s="29"/>
      <c r="E8" s="55"/>
      <c r="F8" s="55"/>
      <c r="G8" s="28">
        <f t="shared" si="0"/>
        <v>297564796.57</v>
      </c>
      <c r="H8" s="30">
        <f aca="true" t="shared" si="3" ref="H8:O8">H11</f>
        <v>15444264.049999999</v>
      </c>
      <c r="I8" s="30">
        <f t="shared" si="3"/>
        <v>13042108.95</v>
      </c>
      <c r="J8" s="30">
        <f t="shared" si="3"/>
        <v>25772859.16</v>
      </c>
      <c r="K8" s="30">
        <f t="shared" si="3"/>
        <v>71843488.05</v>
      </c>
      <c r="L8" s="30">
        <f t="shared" si="3"/>
        <v>71100721.84</v>
      </c>
      <c r="M8" s="30">
        <f t="shared" si="3"/>
        <v>80361354.52</v>
      </c>
      <c r="N8" s="30">
        <f>N11</f>
        <v>20000000</v>
      </c>
      <c r="O8" s="30">
        <f t="shared" si="3"/>
        <v>269078423.57</v>
      </c>
    </row>
    <row r="9" spans="1:15" ht="16.5" customHeight="1">
      <c r="A9" s="105" t="s">
        <v>37</v>
      </c>
      <c r="B9" s="106"/>
      <c r="C9" s="107"/>
      <c r="D9" s="7"/>
      <c r="E9" s="56"/>
      <c r="F9" s="56"/>
      <c r="G9" s="14">
        <f t="shared" si="0"/>
        <v>300418192.5</v>
      </c>
      <c r="H9" s="14">
        <f>H11+H10</f>
        <v>15444264.049999999</v>
      </c>
      <c r="I9" s="14">
        <f aca="true" t="shared" si="4" ref="I9:N9">I10+I11</f>
        <v>13375016.35</v>
      </c>
      <c r="J9" s="14">
        <f t="shared" si="4"/>
        <v>27539413.81</v>
      </c>
      <c r="K9" s="14">
        <f t="shared" si="4"/>
        <v>72597421.92999999</v>
      </c>
      <c r="L9" s="14">
        <f t="shared" si="4"/>
        <v>71100721.84</v>
      </c>
      <c r="M9" s="40">
        <f t="shared" si="4"/>
        <v>80361354.52</v>
      </c>
      <c r="N9" s="40">
        <f t="shared" si="4"/>
        <v>20000000</v>
      </c>
      <c r="O9" s="40">
        <f>J9+K9+L9+M9+N9</f>
        <v>271598912.09999996</v>
      </c>
    </row>
    <row r="10" spans="1:15" s="18" customFormat="1" ht="17.25" customHeight="1">
      <c r="A10" s="108" t="s">
        <v>38</v>
      </c>
      <c r="B10" s="109"/>
      <c r="C10" s="110"/>
      <c r="D10" s="8"/>
      <c r="E10" s="57"/>
      <c r="F10" s="57"/>
      <c r="G10" s="14">
        <f t="shared" si="0"/>
        <v>2853395.93</v>
      </c>
      <c r="H10" s="9">
        <f>H13</f>
        <v>0</v>
      </c>
      <c r="I10" s="9">
        <f>I31+I62</f>
        <v>332907.4</v>
      </c>
      <c r="J10" s="9">
        <f aca="true" t="shared" si="5" ref="J10:O10">J31+J62</f>
        <v>1766554.6500000001</v>
      </c>
      <c r="K10" s="9">
        <f t="shared" si="5"/>
        <v>753933.88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2520488.53</v>
      </c>
    </row>
    <row r="11" spans="1:15" s="18" customFormat="1" ht="19.5" customHeight="1">
      <c r="A11" s="108" t="s">
        <v>39</v>
      </c>
      <c r="B11" s="121"/>
      <c r="C11" s="122"/>
      <c r="D11" s="8"/>
      <c r="E11" s="57"/>
      <c r="F11" s="57"/>
      <c r="G11" s="14">
        <f t="shared" si="0"/>
        <v>297564796.57</v>
      </c>
      <c r="H11" s="9">
        <f aca="true" t="shared" si="6" ref="H11:N11">H14+H81</f>
        <v>15444264.049999999</v>
      </c>
      <c r="I11" s="9">
        <f t="shared" si="6"/>
        <v>13042108.95</v>
      </c>
      <c r="J11" s="9">
        <f t="shared" si="6"/>
        <v>25772859.16</v>
      </c>
      <c r="K11" s="9">
        <f t="shared" si="6"/>
        <v>71843488.05</v>
      </c>
      <c r="L11" s="9">
        <f t="shared" si="6"/>
        <v>71100721.84</v>
      </c>
      <c r="M11" s="9">
        <f t="shared" si="6"/>
        <v>80361354.52</v>
      </c>
      <c r="N11" s="9">
        <f t="shared" si="6"/>
        <v>20000000</v>
      </c>
      <c r="O11" s="40">
        <f>J11+K11+L11+M11+N11</f>
        <v>269078423.57</v>
      </c>
    </row>
    <row r="12" spans="1:15" s="34" customFormat="1" ht="44.25" customHeight="1">
      <c r="A12" s="95" t="s">
        <v>40</v>
      </c>
      <c r="B12" s="96"/>
      <c r="C12" s="97"/>
      <c r="D12" s="19"/>
      <c r="E12" s="58"/>
      <c r="F12" s="58"/>
      <c r="G12" s="23">
        <f>H12+I12+J12+K12+L12+M12</f>
        <v>48368324.36</v>
      </c>
      <c r="H12" s="23">
        <f>H13+H14</f>
        <v>13415077.26</v>
      </c>
      <c r="I12" s="23">
        <f aca="true" t="shared" si="7" ref="I12:O12">I13+I14</f>
        <v>10221301.709999999</v>
      </c>
      <c r="J12" s="23">
        <f t="shared" si="7"/>
        <v>14466679.81</v>
      </c>
      <c r="K12" s="23">
        <f t="shared" si="7"/>
        <v>10265265.580000002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24731945.390000004</v>
      </c>
    </row>
    <row r="13" spans="1:15" s="34" customFormat="1" ht="19.5" customHeight="1">
      <c r="A13" s="92" t="s">
        <v>38</v>
      </c>
      <c r="B13" s="93"/>
      <c r="C13" s="94"/>
      <c r="D13" s="21"/>
      <c r="E13" s="59"/>
      <c r="F13" s="59"/>
      <c r="G13" s="23">
        <f>H13+I13+J13+K13+L13+M13</f>
        <v>2853395.93</v>
      </c>
      <c r="H13" s="20">
        <f>H31</f>
        <v>0</v>
      </c>
      <c r="I13" s="20">
        <f>I31+I62</f>
        <v>332907.4</v>
      </c>
      <c r="J13" s="20">
        <f aca="true" t="shared" si="8" ref="J13:O13">J31+J62</f>
        <v>1766554.6500000001</v>
      </c>
      <c r="K13" s="20">
        <f t="shared" si="8"/>
        <v>753933.88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2520488.53</v>
      </c>
    </row>
    <row r="14" spans="1:15" s="34" customFormat="1" ht="17.25" customHeight="1">
      <c r="A14" s="92" t="s">
        <v>39</v>
      </c>
      <c r="B14" s="93"/>
      <c r="C14" s="94"/>
      <c r="D14" s="21"/>
      <c r="E14" s="59"/>
      <c r="F14" s="59"/>
      <c r="G14" s="23">
        <f>H14+I14+J14+K14+L14+M14</f>
        <v>45514928.43000001</v>
      </c>
      <c r="H14" s="20">
        <f>H17+H24+H74</f>
        <v>13415077.26</v>
      </c>
      <c r="I14" s="20">
        <f aca="true" t="shared" si="9" ref="I14:O14">I24+I17+I32+I74</f>
        <v>9888394.309999999</v>
      </c>
      <c r="J14" s="20">
        <f t="shared" si="9"/>
        <v>12700125.16</v>
      </c>
      <c r="K14" s="20">
        <f t="shared" si="9"/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 t="shared" si="9"/>
        <v>22211456.860000003</v>
      </c>
    </row>
    <row r="15" spans="1:15" s="26" customFormat="1" ht="24.75" customHeight="1">
      <c r="A15" s="98">
        <v>600</v>
      </c>
      <c r="B15" s="98"/>
      <c r="C15" s="24" t="s">
        <v>22</v>
      </c>
      <c r="D15" s="24"/>
      <c r="E15" s="53"/>
      <c r="F15" s="53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53"/>
      <c r="F16" s="53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51" customFormat="1" ht="24.75" customHeight="1">
      <c r="A17" s="50"/>
      <c r="B17" s="50"/>
      <c r="C17" s="50" t="str">
        <f>C19</f>
        <v>- wydatki majątkowe</v>
      </c>
      <c r="D17" s="50"/>
      <c r="E17" s="60"/>
      <c r="F17" s="60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52" t="s">
        <v>95</v>
      </c>
      <c r="D18" s="13" t="s">
        <v>35</v>
      </c>
      <c r="E18" s="60">
        <v>2010</v>
      </c>
      <c r="F18" s="60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57"/>
      <c r="F19" s="57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60"/>
      <c r="F20" s="60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60"/>
      <c r="F21" s="60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98">
        <v>700</v>
      </c>
      <c r="B22" s="98"/>
      <c r="C22" s="24" t="s">
        <v>31</v>
      </c>
      <c r="D22" s="24"/>
      <c r="E22" s="53"/>
      <c r="F22" s="53"/>
      <c r="G22" s="25">
        <f aca="true" t="shared" si="15" ref="G22:G28">H22+I22+J22+K22+L22+M22</f>
        <v>25755324.64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5256978.920000001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5256978.920000001</v>
      </c>
    </row>
    <row r="23" spans="1:15" s="66" customFormat="1" ht="24.75" customHeight="1">
      <c r="A23" s="24"/>
      <c r="B23" s="24">
        <v>70005</v>
      </c>
      <c r="C23" s="24" t="s">
        <v>32</v>
      </c>
      <c r="D23" s="24"/>
      <c r="E23" s="53"/>
      <c r="F23" s="53"/>
      <c r="G23" s="25">
        <f t="shared" si="15"/>
        <v>25755324.64</v>
      </c>
      <c r="H23" s="25">
        <f>16434651.82-3261828.37</f>
        <v>13172823.45</v>
      </c>
      <c r="I23" s="25">
        <f t="shared" si="16"/>
        <v>7325522.27</v>
      </c>
      <c r="J23" s="25">
        <f t="shared" si="16"/>
        <v>5256978.920000001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5256978.920000001</v>
      </c>
    </row>
    <row r="24" spans="1:15" s="63" customFormat="1" ht="24.75" customHeight="1">
      <c r="A24" s="12"/>
      <c r="B24" s="12"/>
      <c r="C24" s="8" t="str">
        <f>C26</f>
        <v>- wydatki majątkowe</v>
      </c>
      <c r="D24" s="12"/>
      <c r="E24" s="60"/>
      <c r="F24" s="60"/>
      <c r="G24" s="40">
        <f t="shared" si="15"/>
        <v>25689401.42</v>
      </c>
      <c r="H24" s="41">
        <f>H25</f>
        <v>13106900.23</v>
      </c>
      <c r="I24" s="41">
        <f aca="true" t="shared" si="17" ref="I24:N24">I27+I28</f>
        <v>7325522.27</v>
      </c>
      <c r="J24" s="41">
        <f t="shared" si="17"/>
        <v>5256978.920000001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5256978.920000001</v>
      </c>
    </row>
    <row r="25" spans="1:15" s="67" customFormat="1" ht="52.5" customHeight="1">
      <c r="A25" s="8">
        <v>2</v>
      </c>
      <c r="B25" s="8"/>
      <c r="C25" s="15" t="s">
        <v>30</v>
      </c>
      <c r="D25" s="15" t="s">
        <v>35</v>
      </c>
      <c r="E25" s="57">
        <v>2007</v>
      </c>
      <c r="F25" s="57">
        <v>2012</v>
      </c>
      <c r="G25" s="14">
        <f t="shared" si="15"/>
        <v>25689401.42</v>
      </c>
      <c r="H25" s="9">
        <f>H26</f>
        <v>13106900.23</v>
      </c>
      <c r="I25" s="9">
        <f aca="true" t="shared" si="18" ref="I25:N25">I26</f>
        <v>7325522.27</v>
      </c>
      <c r="J25" s="9">
        <f t="shared" si="18"/>
        <v>5256978.920000001</v>
      </c>
      <c r="K25" s="9">
        <f t="shared" si="18"/>
        <v>0</v>
      </c>
      <c r="L25" s="9">
        <f t="shared" si="18"/>
        <v>0</v>
      </c>
      <c r="M25" s="9">
        <f t="shared" si="18"/>
        <v>0</v>
      </c>
      <c r="N25" s="9">
        <f t="shared" si="18"/>
        <v>0</v>
      </c>
      <c r="O25" s="14">
        <f>J25+K25+L25+M25+N25</f>
        <v>5256978.920000001</v>
      </c>
    </row>
    <row r="26" spans="1:15" s="63" customFormat="1" ht="24" customHeight="1">
      <c r="A26" s="8"/>
      <c r="B26" s="8"/>
      <c r="C26" s="8" t="s">
        <v>1</v>
      </c>
      <c r="D26" s="15"/>
      <c r="E26" s="57"/>
      <c r="F26" s="57"/>
      <c r="G26" s="14">
        <f t="shared" si="15"/>
        <v>25689401.42</v>
      </c>
      <c r="H26" s="9">
        <f>H27+H28</f>
        <v>13106900.23</v>
      </c>
      <c r="I26" s="9">
        <f aca="true" t="shared" si="19" ref="I26:N26">I27+I28</f>
        <v>7325522.27</v>
      </c>
      <c r="J26" s="9">
        <f t="shared" si="19"/>
        <v>5256978.920000001</v>
      </c>
      <c r="K26" s="9">
        <f t="shared" si="19"/>
        <v>0</v>
      </c>
      <c r="L26" s="9">
        <f t="shared" si="19"/>
        <v>0</v>
      </c>
      <c r="M26" s="9">
        <f t="shared" si="19"/>
        <v>0</v>
      </c>
      <c r="N26" s="9">
        <f t="shared" si="19"/>
        <v>0</v>
      </c>
      <c r="O26" s="14">
        <f>J26+K26+L26+M26+N26</f>
        <v>5256978.920000001</v>
      </c>
    </row>
    <row r="27" spans="1:15" s="63" customFormat="1" ht="22.5" customHeight="1">
      <c r="A27" s="8"/>
      <c r="B27" s="8"/>
      <c r="C27" s="15" t="s">
        <v>60</v>
      </c>
      <c r="D27" s="8"/>
      <c r="E27" s="57"/>
      <c r="F27" s="57"/>
      <c r="G27" s="14">
        <f t="shared" si="15"/>
        <v>11667171.7</v>
      </c>
      <c r="H27" s="9">
        <v>5290157.06</v>
      </c>
      <c r="I27" s="9">
        <f>4357220.97+2359865.65-1248365.91-506597.72</f>
        <v>4962122.989999999</v>
      </c>
      <c r="J27" s="9">
        <f>2838571.31-1423679.66</f>
        <v>1414891.6500000001</v>
      </c>
      <c r="K27" s="9">
        <v>0</v>
      </c>
      <c r="L27" s="9">
        <v>0</v>
      </c>
      <c r="M27" s="9">
        <v>0</v>
      </c>
      <c r="N27" s="9">
        <v>0</v>
      </c>
      <c r="O27" s="14">
        <f>J27+K27+L27+M27+N27</f>
        <v>1414891.6500000001</v>
      </c>
    </row>
    <row r="28" spans="1:15" s="63" customFormat="1" ht="22.5" customHeight="1">
      <c r="A28" s="8"/>
      <c r="B28" s="8"/>
      <c r="C28" s="15" t="s">
        <v>61</v>
      </c>
      <c r="D28" s="8"/>
      <c r="E28" s="57"/>
      <c r="F28" s="57"/>
      <c r="G28" s="14">
        <f t="shared" si="15"/>
        <v>14022229.720000003</v>
      </c>
      <c r="H28" s="9">
        <v>7816743.17</v>
      </c>
      <c r="I28" s="9">
        <f>5167763.9+1144501.81-3948866.43</f>
        <v>2363399.2800000007</v>
      </c>
      <c r="J28" s="9">
        <f>6282496.32-2440409.05</f>
        <v>3842087.2700000005</v>
      </c>
      <c r="K28" s="9">
        <v>0</v>
      </c>
      <c r="L28" s="9">
        <v>0</v>
      </c>
      <c r="M28" s="9">
        <v>0</v>
      </c>
      <c r="N28" s="9">
        <v>0</v>
      </c>
      <c r="O28" s="14">
        <f>J28+K28+L28+M28+N28</f>
        <v>3842087.2700000005</v>
      </c>
    </row>
    <row r="29" spans="1:15" s="26" customFormat="1" ht="24.75" customHeight="1">
      <c r="A29" s="98">
        <v>801</v>
      </c>
      <c r="B29" s="98"/>
      <c r="C29" s="24" t="s">
        <v>17</v>
      </c>
      <c r="D29" s="24"/>
      <c r="E29" s="53"/>
      <c r="F29" s="53"/>
      <c r="G29" s="25">
        <f aca="true" t="shared" si="20" ref="G29:G74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84</v>
      </c>
      <c r="D30" s="24"/>
      <c r="E30" s="53"/>
      <c r="F30" s="53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47" t="s">
        <v>38</v>
      </c>
      <c r="D31" s="12"/>
      <c r="E31" s="60"/>
      <c r="F31" s="60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47" t="s">
        <v>39</v>
      </c>
      <c r="D32" s="12"/>
      <c r="E32" s="60"/>
      <c r="F32" s="60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48" t="s">
        <v>71</v>
      </c>
      <c r="D33" s="13" t="s">
        <v>72</v>
      </c>
      <c r="E33" s="60">
        <v>2011</v>
      </c>
      <c r="F33" s="60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57"/>
      <c r="F34" s="57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60"/>
      <c r="F35" s="60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60"/>
      <c r="F36" s="60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48" t="s">
        <v>73</v>
      </c>
      <c r="D37" s="13" t="s">
        <v>74</v>
      </c>
      <c r="E37" s="60">
        <v>2011</v>
      </c>
      <c r="F37" s="60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57"/>
      <c r="F38" s="57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60"/>
      <c r="F39" s="60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60"/>
      <c r="F40" s="60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48" t="s">
        <v>85</v>
      </c>
      <c r="D41" s="13" t="s">
        <v>72</v>
      </c>
      <c r="E41" s="60">
        <v>2011</v>
      </c>
      <c r="F41" s="60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57"/>
      <c r="F42" s="57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60"/>
      <c r="F43" s="60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60"/>
      <c r="F44" s="60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48" t="s">
        <v>86</v>
      </c>
      <c r="D45" s="13" t="s">
        <v>87</v>
      </c>
      <c r="E45" s="60">
        <v>2011</v>
      </c>
      <c r="F45" s="60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57"/>
      <c r="F46" s="57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60"/>
      <c r="F47" s="60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60"/>
      <c r="F48" s="60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48" t="s">
        <v>88</v>
      </c>
      <c r="D49" s="13" t="s">
        <v>72</v>
      </c>
      <c r="E49" s="60">
        <v>2011</v>
      </c>
      <c r="F49" s="60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57"/>
      <c r="F50" s="57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60"/>
      <c r="F51" s="60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60"/>
      <c r="F52" s="60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48" t="s">
        <v>89</v>
      </c>
      <c r="D53" s="13" t="s">
        <v>90</v>
      </c>
      <c r="E53" s="60">
        <v>2011</v>
      </c>
      <c r="F53" s="60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57"/>
      <c r="F54" s="57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60"/>
      <c r="F55" s="60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60"/>
      <c r="F56" s="60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91</v>
      </c>
      <c r="D57" s="15"/>
      <c r="E57" s="57"/>
      <c r="F57" s="57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60"/>
      <c r="F58" s="60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60"/>
      <c r="F59" s="60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66" customFormat="1" ht="24.75" customHeight="1">
      <c r="A60" s="98">
        <v>853</v>
      </c>
      <c r="B60" s="98"/>
      <c r="C60" s="24" t="s">
        <v>100</v>
      </c>
      <c r="D60" s="24"/>
      <c r="E60" s="53"/>
      <c r="F60" s="53"/>
      <c r="G60" s="25">
        <f aca="true" t="shared" si="34" ref="G60:G67">H60+I60+J60+K60+L60+M60</f>
        <v>325728.38</v>
      </c>
      <c r="H60" s="25">
        <v>0</v>
      </c>
      <c r="I60" s="25">
        <f aca="true" t="shared" si="35" ref="I60:O60">I61</f>
        <v>0</v>
      </c>
      <c r="J60" s="25">
        <f t="shared" si="35"/>
        <v>156756.84</v>
      </c>
      <c r="K60" s="25">
        <f t="shared" si="35"/>
        <v>168971.54</v>
      </c>
      <c r="L60" s="42">
        <f t="shared" si="35"/>
        <v>0</v>
      </c>
      <c r="M60" s="42">
        <f t="shared" si="35"/>
        <v>0</v>
      </c>
      <c r="N60" s="42">
        <f t="shared" si="35"/>
        <v>0</v>
      </c>
      <c r="O60" s="42">
        <f t="shared" si="35"/>
        <v>325728.38</v>
      </c>
    </row>
    <row r="61" spans="1:15" s="66" customFormat="1" ht="24.75" customHeight="1">
      <c r="A61" s="24"/>
      <c r="B61" s="24">
        <v>85333</v>
      </c>
      <c r="C61" s="24" t="s">
        <v>101</v>
      </c>
      <c r="D61" s="24"/>
      <c r="E61" s="53"/>
      <c r="F61" s="53"/>
      <c r="G61" s="25">
        <f t="shared" si="34"/>
        <v>325728.38</v>
      </c>
      <c r="H61" s="25">
        <v>0</v>
      </c>
      <c r="I61" s="25">
        <f>I62</f>
        <v>0</v>
      </c>
      <c r="J61" s="25">
        <f>J62+J63</f>
        <v>156756.84</v>
      </c>
      <c r="K61" s="25">
        <f>K62+K63</f>
        <v>168971.54</v>
      </c>
      <c r="L61" s="42">
        <f>L62</f>
        <v>0</v>
      </c>
      <c r="M61" s="42">
        <f>M62</f>
        <v>0</v>
      </c>
      <c r="N61" s="42">
        <f>N62</f>
        <v>0</v>
      </c>
      <c r="O61" s="42">
        <f>O62+O63</f>
        <v>325728.38</v>
      </c>
    </row>
    <row r="62" spans="1:15" s="63" customFormat="1" ht="24.75" customHeight="1">
      <c r="A62" s="12"/>
      <c r="B62" s="12"/>
      <c r="C62" s="47" t="s">
        <v>38</v>
      </c>
      <c r="D62" s="12"/>
      <c r="E62" s="60"/>
      <c r="F62" s="60"/>
      <c r="G62" s="40">
        <f t="shared" si="34"/>
        <v>325728.38</v>
      </c>
      <c r="H62" s="41">
        <v>0</v>
      </c>
      <c r="I62" s="41">
        <v>0</v>
      </c>
      <c r="J62" s="41">
        <f>J64+J68</f>
        <v>156756.84</v>
      </c>
      <c r="K62" s="41">
        <f>K64+K68</f>
        <v>168971.54</v>
      </c>
      <c r="L62" s="41">
        <f>L64</f>
        <v>0</v>
      </c>
      <c r="M62" s="41">
        <f>M64</f>
        <v>0</v>
      </c>
      <c r="N62" s="41">
        <f>N64</f>
        <v>0</v>
      </c>
      <c r="O62" s="40">
        <f aca="true" t="shared" si="36" ref="O62:O67">J62+K62+L62+M62+N62</f>
        <v>325728.38</v>
      </c>
    </row>
    <row r="63" spans="1:15" s="63" customFormat="1" ht="24.75" customHeight="1">
      <c r="A63" s="12"/>
      <c r="B63" s="12"/>
      <c r="C63" s="47" t="s">
        <v>39</v>
      </c>
      <c r="D63" s="12"/>
      <c r="E63" s="60"/>
      <c r="F63" s="60"/>
      <c r="G63" s="40">
        <f t="shared" si="34"/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0">
        <f t="shared" si="36"/>
        <v>0</v>
      </c>
    </row>
    <row r="64" spans="1:15" s="67" customFormat="1" ht="30" customHeight="1">
      <c r="A64" s="12">
        <v>9</v>
      </c>
      <c r="B64" s="12"/>
      <c r="C64" s="48" t="s">
        <v>110</v>
      </c>
      <c r="D64" s="13" t="s">
        <v>102</v>
      </c>
      <c r="E64" s="60">
        <v>2012</v>
      </c>
      <c r="F64" s="60">
        <v>2013</v>
      </c>
      <c r="G64" s="14">
        <f t="shared" si="34"/>
        <v>194792.38</v>
      </c>
      <c r="H64" s="9">
        <v>0</v>
      </c>
      <c r="I64" s="9">
        <v>0</v>
      </c>
      <c r="J64" s="9">
        <f>J65</f>
        <v>156756.84</v>
      </c>
      <c r="K64" s="9">
        <f>K65</f>
        <v>38035.54</v>
      </c>
      <c r="L64" s="9">
        <f>L72</f>
        <v>0</v>
      </c>
      <c r="M64" s="9">
        <f>M72</f>
        <v>0</v>
      </c>
      <c r="N64" s="9">
        <f>N72</f>
        <v>0</v>
      </c>
      <c r="O64" s="40">
        <f t="shared" si="36"/>
        <v>194792.38</v>
      </c>
    </row>
    <row r="65" spans="1:15" s="63" customFormat="1" ht="24" customHeight="1">
      <c r="A65" s="8"/>
      <c r="B65" s="8"/>
      <c r="C65" s="8" t="s">
        <v>70</v>
      </c>
      <c r="D65" s="15"/>
      <c r="E65" s="57"/>
      <c r="F65" s="57"/>
      <c r="G65" s="14">
        <f t="shared" si="34"/>
        <v>194792.38</v>
      </c>
      <c r="H65" s="9">
        <v>0</v>
      </c>
      <c r="I65" s="9">
        <f aca="true" t="shared" si="37" ref="I65:N65">I66+I67</f>
        <v>0</v>
      </c>
      <c r="J65" s="9">
        <f t="shared" si="37"/>
        <v>156756.84</v>
      </c>
      <c r="K65" s="9">
        <f t="shared" si="37"/>
        <v>38035.54</v>
      </c>
      <c r="L65" s="9">
        <f t="shared" si="37"/>
        <v>0</v>
      </c>
      <c r="M65" s="41">
        <f t="shared" si="37"/>
        <v>0</v>
      </c>
      <c r="N65" s="41">
        <f t="shared" si="37"/>
        <v>0</v>
      </c>
      <c r="O65" s="40">
        <f t="shared" si="36"/>
        <v>194792.38</v>
      </c>
    </row>
    <row r="66" spans="1:15" s="63" customFormat="1" ht="22.5" customHeight="1">
      <c r="A66" s="12"/>
      <c r="B66" s="12"/>
      <c r="C66" s="13" t="s">
        <v>60</v>
      </c>
      <c r="D66" s="12"/>
      <c r="E66" s="60"/>
      <c r="F66" s="60"/>
      <c r="G66" s="14">
        <f t="shared" si="34"/>
        <v>29218.86</v>
      </c>
      <c r="H66" s="9">
        <v>0</v>
      </c>
      <c r="I66" s="9">
        <v>0</v>
      </c>
      <c r="J66" s="9">
        <v>23513.53</v>
      </c>
      <c r="K66" s="9">
        <v>5705.33</v>
      </c>
      <c r="L66" s="9">
        <v>0</v>
      </c>
      <c r="M66" s="41">
        <v>0</v>
      </c>
      <c r="N66" s="41">
        <v>0</v>
      </c>
      <c r="O66" s="40">
        <f t="shared" si="36"/>
        <v>29218.86</v>
      </c>
    </row>
    <row r="67" spans="1:15" s="63" customFormat="1" ht="22.5" customHeight="1">
      <c r="A67" s="12"/>
      <c r="B67" s="12"/>
      <c r="C67" s="13" t="s">
        <v>61</v>
      </c>
      <c r="D67" s="12"/>
      <c r="E67" s="60"/>
      <c r="F67" s="60"/>
      <c r="G67" s="14">
        <f t="shared" si="34"/>
        <v>165573.52</v>
      </c>
      <c r="H67" s="9">
        <v>0</v>
      </c>
      <c r="I67" s="9">
        <v>0</v>
      </c>
      <c r="J67" s="9">
        <v>133243.31</v>
      </c>
      <c r="K67" s="9">
        <v>32330.21</v>
      </c>
      <c r="L67" s="9">
        <v>0</v>
      </c>
      <c r="M67" s="41">
        <v>0</v>
      </c>
      <c r="N67" s="41">
        <v>0</v>
      </c>
      <c r="O67" s="40">
        <f t="shared" si="36"/>
        <v>165573.52</v>
      </c>
    </row>
    <row r="68" spans="1:15" s="67" customFormat="1" ht="30" customHeight="1">
      <c r="A68" s="12">
        <v>10</v>
      </c>
      <c r="B68" s="12"/>
      <c r="C68" s="48" t="s">
        <v>109</v>
      </c>
      <c r="D68" s="13" t="s">
        <v>102</v>
      </c>
      <c r="E68" s="60">
        <v>2013</v>
      </c>
      <c r="F68" s="60">
        <v>2013</v>
      </c>
      <c r="G68" s="14">
        <f>H68+I68+J68+K68+L68+M68</f>
        <v>130936</v>
      </c>
      <c r="H68" s="9">
        <v>0</v>
      </c>
      <c r="I68" s="9">
        <v>0</v>
      </c>
      <c r="J68" s="9">
        <f>J69</f>
        <v>0</v>
      </c>
      <c r="K68" s="9">
        <f>K69</f>
        <v>130936</v>
      </c>
      <c r="L68" s="9">
        <f>L76</f>
        <v>0</v>
      </c>
      <c r="M68" s="9">
        <f>M76</f>
        <v>0</v>
      </c>
      <c r="N68" s="9">
        <f>N76</f>
        <v>0</v>
      </c>
      <c r="O68" s="40">
        <f>J68+K68+L68+M68+N68</f>
        <v>130936</v>
      </c>
    </row>
    <row r="69" spans="1:15" s="63" customFormat="1" ht="24" customHeight="1">
      <c r="A69" s="8"/>
      <c r="B69" s="8"/>
      <c r="C69" s="8" t="s">
        <v>70</v>
      </c>
      <c r="D69" s="15"/>
      <c r="E69" s="57"/>
      <c r="F69" s="57"/>
      <c r="G69" s="14">
        <f>H69+I69+J69+K69+L69+M69</f>
        <v>130936</v>
      </c>
      <c r="H69" s="9">
        <v>0</v>
      </c>
      <c r="I69" s="9">
        <f aca="true" t="shared" si="38" ref="I69:N69">I70+I71</f>
        <v>0</v>
      </c>
      <c r="J69" s="9">
        <f t="shared" si="38"/>
        <v>0</v>
      </c>
      <c r="K69" s="9">
        <f t="shared" si="38"/>
        <v>130936</v>
      </c>
      <c r="L69" s="9">
        <f t="shared" si="38"/>
        <v>0</v>
      </c>
      <c r="M69" s="41">
        <f t="shared" si="38"/>
        <v>0</v>
      </c>
      <c r="N69" s="41">
        <f t="shared" si="38"/>
        <v>0</v>
      </c>
      <c r="O69" s="40">
        <f>J69+K69+L69+M69+N69</f>
        <v>130936</v>
      </c>
    </row>
    <row r="70" spans="1:15" s="63" customFormat="1" ht="22.5" customHeight="1">
      <c r="A70" s="12"/>
      <c r="B70" s="12"/>
      <c r="C70" s="13" t="s">
        <v>60</v>
      </c>
      <c r="D70" s="12"/>
      <c r="E70" s="60"/>
      <c r="F70" s="60"/>
      <c r="G70" s="14">
        <f>H70+I70+J70+K70+L70+M70</f>
        <v>19640.4</v>
      </c>
      <c r="H70" s="9">
        <v>0</v>
      </c>
      <c r="I70" s="9">
        <v>0</v>
      </c>
      <c r="J70" s="9">
        <v>0</v>
      </c>
      <c r="K70" s="9">
        <v>19640.4</v>
      </c>
      <c r="L70" s="9">
        <v>0</v>
      </c>
      <c r="M70" s="41">
        <v>0</v>
      </c>
      <c r="N70" s="41">
        <v>0</v>
      </c>
      <c r="O70" s="40">
        <f>J70+K70+L70+M70+N70</f>
        <v>19640.4</v>
      </c>
    </row>
    <row r="71" spans="1:15" s="63" customFormat="1" ht="22.5" customHeight="1">
      <c r="A71" s="12"/>
      <c r="B71" s="12"/>
      <c r="C71" s="13" t="s">
        <v>61</v>
      </c>
      <c r="D71" s="12"/>
      <c r="E71" s="60"/>
      <c r="F71" s="60"/>
      <c r="G71" s="14">
        <f>H71+I71+J71+K71+L71+M71</f>
        <v>111295.6</v>
      </c>
      <c r="H71" s="9">
        <v>0</v>
      </c>
      <c r="I71" s="9">
        <v>0</v>
      </c>
      <c r="J71" s="9">
        <v>0</v>
      </c>
      <c r="K71" s="9">
        <v>111295.6</v>
      </c>
      <c r="L71" s="9">
        <v>0</v>
      </c>
      <c r="M71" s="41">
        <v>0</v>
      </c>
      <c r="N71" s="41">
        <v>0</v>
      </c>
      <c r="O71" s="40">
        <f>J71+K71+L71+M71+N71</f>
        <v>111295.6</v>
      </c>
    </row>
    <row r="72" spans="1:15" s="26" customFormat="1" ht="24.75" customHeight="1">
      <c r="A72" s="98">
        <v>921</v>
      </c>
      <c r="B72" s="98"/>
      <c r="C72" s="24" t="s">
        <v>19</v>
      </c>
      <c r="D72" s="24"/>
      <c r="E72" s="53"/>
      <c r="F72" s="53"/>
      <c r="G72" s="25">
        <f t="shared" si="20"/>
        <v>16856004.700000003</v>
      </c>
      <c r="H72" s="25">
        <f>H73</f>
        <v>48190</v>
      </c>
      <c r="I72" s="25">
        <f aca="true" t="shared" si="39" ref="I72:O73">I73</f>
        <v>36900</v>
      </c>
      <c r="J72" s="25">
        <f t="shared" si="39"/>
        <v>7259583</v>
      </c>
      <c r="K72" s="25">
        <f t="shared" si="39"/>
        <v>9511331.700000001</v>
      </c>
      <c r="L72" s="42">
        <f t="shared" si="39"/>
        <v>0</v>
      </c>
      <c r="M72" s="42">
        <f t="shared" si="39"/>
        <v>0</v>
      </c>
      <c r="N72" s="42">
        <f t="shared" si="39"/>
        <v>0</v>
      </c>
      <c r="O72" s="42">
        <f t="shared" si="39"/>
        <v>16770914.700000001</v>
      </c>
    </row>
    <row r="73" spans="1:15" s="26" customFormat="1" ht="24.75" customHeight="1">
      <c r="A73" s="24"/>
      <c r="B73" s="24">
        <v>92120</v>
      </c>
      <c r="C73" s="24" t="s">
        <v>27</v>
      </c>
      <c r="D73" s="24"/>
      <c r="E73" s="53"/>
      <c r="F73" s="53"/>
      <c r="G73" s="25">
        <f t="shared" si="20"/>
        <v>16856004.700000003</v>
      </c>
      <c r="H73" s="25">
        <f>H74</f>
        <v>48190</v>
      </c>
      <c r="I73" s="25">
        <f t="shared" si="39"/>
        <v>36900</v>
      </c>
      <c r="J73" s="25">
        <f t="shared" si="39"/>
        <v>7259583</v>
      </c>
      <c r="K73" s="25">
        <f t="shared" si="39"/>
        <v>9511331.700000001</v>
      </c>
      <c r="L73" s="42">
        <f t="shared" si="39"/>
        <v>0</v>
      </c>
      <c r="M73" s="42">
        <f t="shared" si="39"/>
        <v>0</v>
      </c>
      <c r="N73" s="42">
        <f t="shared" si="39"/>
        <v>0</v>
      </c>
      <c r="O73" s="42">
        <f t="shared" si="39"/>
        <v>16770914.700000001</v>
      </c>
    </row>
    <row r="74" spans="1:15" s="51" customFormat="1" ht="24.75" customHeight="1">
      <c r="A74" s="50"/>
      <c r="B74" s="50"/>
      <c r="C74" s="50" t="str">
        <f>C76</f>
        <v>- wydatki majątkowe</v>
      </c>
      <c r="D74" s="50"/>
      <c r="E74" s="60"/>
      <c r="F74" s="60"/>
      <c r="G74" s="40">
        <f t="shared" si="20"/>
        <v>16856004.700000003</v>
      </c>
      <c r="H74" s="41">
        <f>H75</f>
        <v>48190</v>
      </c>
      <c r="I74" s="41">
        <f aca="true" t="shared" si="40" ref="I74:N74">I77+I78</f>
        <v>36900</v>
      </c>
      <c r="J74" s="41">
        <f t="shared" si="40"/>
        <v>7259583</v>
      </c>
      <c r="K74" s="41">
        <f t="shared" si="40"/>
        <v>9511331.700000001</v>
      </c>
      <c r="L74" s="41">
        <f t="shared" si="40"/>
        <v>0</v>
      </c>
      <c r="M74" s="41">
        <f t="shared" si="40"/>
        <v>0</v>
      </c>
      <c r="N74" s="41">
        <f t="shared" si="40"/>
        <v>0</v>
      </c>
      <c r="O74" s="40">
        <f>J74+K74+L74+M74+N74</f>
        <v>16770914.700000001</v>
      </c>
    </row>
    <row r="75" spans="1:15" s="67" customFormat="1" ht="52.5" customHeight="1">
      <c r="A75" s="12">
        <v>11</v>
      </c>
      <c r="B75" s="12"/>
      <c r="C75" s="52" t="s">
        <v>65</v>
      </c>
      <c r="D75" s="13" t="s">
        <v>35</v>
      </c>
      <c r="E75" s="60">
        <v>2010</v>
      </c>
      <c r="F75" s="60">
        <v>2013</v>
      </c>
      <c r="G75" s="40">
        <v>16856004.7</v>
      </c>
      <c r="H75" s="41">
        <v>48190</v>
      </c>
      <c r="I75" s="41">
        <v>36900</v>
      </c>
      <c r="J75" s="41">
        <v>7259583</v>
      </c>
      <c r="K75" s="41">
        <v>9511331.7</v>
      </c>
      <c r="L75" s="9">
        <f>L76</f>
        <v>0</v>
      </c>
      <c r="M75" s="41">
        <f>M76</f>
        <v>0</v>
      </c>
      <c r="N75" s="41">
        <f>N76</f>
        <v>0</v>
      </c>
      <c r="O75" s="40">
        <f>J75+K75+L75+M75+N75</f>
        <v>16770914.7</v>
      </c>
    </row>
    <row r="76" spans="1:15" s="63" customFormat="1" ht="24" customHeight="1">
      <c r="A76" s="8"/>
      <c r="B76" s="8"/>
      <c r="C76" s="8" t="s">
        <v>1</v>
      </c>
      <c r="D76" s="15"/>
      <c r="E76" s="57"/>
      <c r="F76" s="57"/>
      <c r="G76" s="14">
        <f>H76+I76+J76+K76+L76+M76</f>
        <v>16856004.700000003</v>
      </c>
      <c r="H76" s="9">
        <v>48190</v>
      </c>
      <c r="I76" s="9">
        <f aca="true" t="shared" si="41" ref="I76:N76">I77+I78</f>
        <v>36900</v>
      </c>
      <c r="J76" s="9">
        <f t="shared" si="41"/>
        <v>7259583</v>
      </c>
      <c r="K76" s="9">
        <f t="shared" si="41"/>
        <v>9511331.700000001</v>
      </c>
      <c r="L76" s="9">
        <f t="shared" si="41"/>
        <v>0</v>
      </c>
      <c r="M76" s="41">
        <f t="shared" si="41"/>
        <v>0</v>
      </c>
      <c r="N76" s="41">
        <f t="shared" si="41"/>
        <v>0</v>
      </c>
      <c r="O76" s="40">
        <f>J76+K76+L76+M76+N76</f>
        <v>16770914.700000001</v>
      </c>
    </row>
    <row r="77" spans="1:15" s="63" customFormat="1" ht="22.5" customHeight="1">
      <c r="A77" s="12"/>
      <c r="B77" s="12"/>
      <c r="C77" s="13" t="s">
        <v>60</v>
      </c>
      <c r="D77" s="12"/>
      <c r="E77" s="60"/>
      <c r="F77" s="60"/>
      <c r="G77" s="14">
        <f>H77+I77+J77+K77+L77+M77</f>
        <v>3103425.71</v>
      </c>
      <c r="H77" s="9">
        <v>7228.5</v>
      </c>
      <c r="I77" s="9">
        <v>5535</v>
      </c>
      <c r="J77" s="9">
        <v>1559412.45</v>
      </c>
      <c r="K77" s="9">
        <v>1531249.76</v>
      </c>
      <c r="L77" s="9">
        <v>0</v>
      </c>
      <c r="M77" s="41">
        <v>0</v>
      </c>
      <c r="N77" s="41">
        <v>0</v>
      </c>
      <c r="O77" s="40">
        <f>J77+K77+L77+M77+N77</f>
        <v>3090662.21</v>
      </c>
    </row>
    <row r="78" spans="1:15" s="63" customFormat="1" ht="22.5" customHeight="1">
      <c r="A78" s="12"/>
      <c r="B78" s="12"/>
      <c r="C78" s="13" t="s">
        <v>61</v>
      </c>
      <c r="D78" s="12"/>
      <c r="E78" s="60"/>
      <c r="F78" s="60"/>
      <c r="G78" s="14">
        <f>H78+I78+J78+K78+L78+M78</f>
        <v>13752578.99</v>
      </c>
      <c r="H78" s="9">
        <v>40961.5</v>
      </c>
      <c r="I78" s="9">
        <v>31365</v>
      </c>
      <c r="J78" s="9">
        <v>5700170.55</v>
      </c>
      <c r="K78" s="9">
        <v>7980081.94</v>
      </c>
      <c r="L78" s="9">
        <v>0</v>
      </c>
      <c r="M78" s="41">
        <v>0</v>
      </c>
      <c r="N78" s="41">
        <v>0</v>
      </c>
      <c r="O78" s="40">
        <f>J78+K78+L78+M78+N78</f>
        <v>13680252.49</v>
      </c>
    </row>
    <row r="79" spans="1:15" s="33" customFormat="1" ht="31.5" customHeight="1">
      <c r="A79" s="95" t="s">
        <v>41</v>
      </c>
      <c r="B79" s="96"/>
      <c r="C79" s="97"/>
      <c r="D79" s="19"/>
      <c r="E79" s="58"/>
      <c r="F79" s="58"/>
      <c r="G79" s="23">
        <f>H79+I79+J79+K79+L79+M79+N79</f>
        <v>252049868.14</v>
      </c>
      <c r="H79" s="23">
        <f>H81+H80</f>
        <v>2029186.7899999996</v>
      </c>
      <c r="I79" s="23">
        <f aca="true" t="shared" si="42" ref="I79:N79">I80+I81</f>
        <v>3153714.64</v>
      </c>
      <c r="J79" s="23">
        <f t="shared" si="42"/>
        <v>13072734</v>
      </c>
      <c r="K79" s="23">
        <f t="shared" si="42"/>
        <v>62332156.349999994</v>
      </c>
      <c r="L79" s="23">
        <f t="shared" si="42"/>
        <v>71100721.84</v>
      </c>
      <c r="M79" s="38">
        <f t="shared" si="42"/>
        <v>80361354.52</v>
      </c>
      <c r="N79" s="38">
        <f t="shared" si="42"/>
        <v>20000000</v>
      </c>
      <c r="O79" s="38">
        <f>O80+O81</f>
        <v>246866966.71</v>
      </c>
    </row>
    <row r="80" spans="1:15" s="34" customFormat="1" ht="21" customHeight="1">
      <c r="A80" s="92" t="s">
        <v>38</v>
      </c>
      <c r="B80" s="93"/>
      <c r="C80" s="94"/>
      <c r="D80" s="21"/>
      <c r="E80" s="59"/>
      <c r="F80" s="59"/>
      <c r="G80" s="23">
        <f aca="true" t="shared" si="43" ref="G80:G92">H80+I80+J80+K80+L80+M80</f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39">
        <v>0</v>
      </c>
      <c r="N80" s="39">
        <v>0</v>
      </c>
      <c r="O80" s="39">
        <v>0</v>
      </c>
    </row>
    <row r="81" spans="1:15" s="34" customFormat="1" ht="21" customHeight="1">
      <c r="A81" s="92" t="s">
        <v>39</v>
      </c>
      <c r="B81" s="93"/>
      <c r="C81" s="94"/>
      <c r="D81" s="21"/>
      <c r="E81" s="59"/>
      <c r="F81" s="59"/>
      <c r="G81" s="23">
        <f>H81+I81+J81+K81+L81+M81+N81</f>
        <v>252049868.14</v>
      </c>
      <c r="H81" s="20">
        <f aca="true" t="shared" si="44" ref="H81:O81">H82+H107+H111+H116+H119+H124+H129</f>
        <v>2029186.7899999996</v>
      </c>
      <c r="I81" s="20">
        <f t="shared" si="44"/>
        <v>3153714.64</v>
      </c>
      <c r="J81" s="20">
        <f t="shared" si="44"/>
        <v>13072734</v>
      </c>
      <c r="K81" s="20">
        <f t="shared" si="44"/>
        <v>62332156.349999994</v>
      </c>
      <c r="L81" s="20">
        <f t="shared" si="44"/>
        <v>71100721.84</v>
      </c>
      <c r="M81" s="20">
        <f t="shared" si="44"/>
        <v>80361354.52</v>
      </c>
      <c r="N81" s="20">
        <f t="shared" si="44"/>
        <v>20000000</v>
      </c>
      <c r="O81" s="20">
        <f t="shared" si="44"/>
        <v>246866966.71</v>
      </c>
    </row>
    <row r="82" spans="1:15" s="35" customFormat="1" ht="19.5" customHeight="1">
      <c r="A82" s="90">
        <v>600</v>
      </c>
      <c r="B82" s="91"/>
      <c r="C82" s="24" t="s">
        <v>22</v>
      </c>
      <c r="D82" s="24"/>
      <c r="E82" s="53"/>
      <c r="F82" s="53"/>
      <c r="G82" s="25">
        <f>H82+I82+J82+K82+L82+M82</f>
        <v>154036688.44</v>
      </c>
      <c r="H82" s="25">
        <f>H83+H95</f>
        <v>362039.35999999964</v>
      </c>
      <c r="I82" s="25">
        <f aca="true" t="shared" si="45" ref="I82:N82">I83+I95</f>
        <v>1750492.22</v>
      </c>
      <c r="J82" s="25">
        <f t="shared" si="45"/>
        <v>10720426</v>
      </c>
      <c r="K82" s="25">
        <f t="shared" si="45"/>
        <v>34761747.1</v>
      </c>
      <c r="L82" s="42">
        <f t="shared" si="45"/>
        <v>54620721.84</v>
      </c>
      <c r="M82" s="42">
        <f t="shared" si="45"/>
        <v>51821261.92</v>
      </c>
      <c r="N82" s="42">
        <f t="shared" si="45"/>
        <v>14000000</v>
      </c>
      <c r="O82" s="42">
        <f>J82+K82+L82+M82+N82</f>
        <v>165924156.86</v>
      </c>
    </row>
    <row r="83" spans="1:15" s="3" customFormat="1" ht="22.5" customHeight="1">
      <c r="A83" s="16"/>
      <c r="B83" s="7">
        <v>60015</v>
      </c>
      <c r="C83" s="7" t="s">
        <v>24</v>
      </c>
      <c r="D83" s="7"/>
      <c r="E83" s="56"/>
      <c r="F83" s="56"/>
      <c r="G83" s="14">
        <f>H83+I83+J83+K83+L83+M83</f>
        <v>114464064.5</v>
      </c>
      <c r="H83" s="14">
        <f>H84+H85+H86+H87+H88+H89+H90+H91+H92+H93+H94</f>
        <v>320095.75999999966</v>
      </c>
      <c r="I83" s="14">
        <f aca="true" t="shared" si="46" ref="I83:O83">I84+I85+I86+I87+I88+I89+I90+I91+I92+I93+I94</f>
        <v>931419.93</v>
      </c>
      <c r="J83" s="14">
        <f t="shared" si="46"/>
        <v>9431530</v>
      </c>
      <c r="K83" s="14">
        <f>K84+K85+K86+K87+K88+K89+K90+K91+K92+K93+K94</f>
        <v>28278481.1</v>
      </c>
      <c r="L83" s="14">
        <f t="shared" si="46"/>
        <v>38651718.84</v>
      </c>
      <c r="M83" s="14">
        <f t="shared" si="46"/>
        <v>36850818.87</v>
      </c>
      <c r="N83" s="14">
        <f t="shared" si="46"/>
        <v>0</v>
      </c>
      <c r="O83" s="14">
        <f t="shared" si="46"/>
        <v>113212548.81</v>
      </c>
    </row>
    <row r="84" spans="1:15" s="63" customFormat="1" ht="35.25" customHeight="1">
      <c r="A84" s="8">
        <v>1</v>
      </c>
      <c r="B84" s="8"/>
      <c r="C84" s="15" t="s">
        <v>33</v>
      </c>
      <c r="D84" s="15" t="s">
        <v>35</v>
      </c>
      <c r="E84" s="57">
        <v>2010</v>
      </c>
      <c r="F84" s="57">
        <v>2015</v>
      </c>
      <c r="G84" s="14">
        <f t="shared" si="43"/>
        <v>48388046.91</v>
      </c>
      <c r="H84" s="9">
        <f>4281523.55-4203535.66</f>
        <v>77987.88999999966</v>
      </c>
      <c r="I84" s="9">
        <f>6500000-6000000-0.85-298427</f>
        <v>201572.15000000002</v>
      </c>
      <c r="J84" s="9">
        <f>500000+267632-7880+7880</f>
        <v>767632</v>
      </c>
      <c r="K84" s="9">
        <f>4722012.11+1588197.99-7880</f>
        <v>6302330.100000001</v>
      </c>
      <c r="L84" s="9">
        <f>15800000+4170165.21+7880</f>
        <v>19978045.21</v>
      </c>
      <c r="M84" s="9">
        <f>14196464.34+0.85+6864014.37</f>
        <v>21060479.56</v>
      </c>
      <c r="N84" s="9">
        <v>0</v>
      </c>
      <c r="O84" s="14">
        <f>J84+K84+L84+M84+N84</f>
        <v>48108486.870000005</v>
      </c>
    </row>
    <row r="85" spans="1:15" s="63" customFormat="1" ht="36.75" customHeight="1">
      <c r="A85" s="8">
        <v>2</v>
      </c>
      <c r="B85" s="8"/>
      <c r="C85" s="15" t="s">
        <v>20</v>
      </c>
      <c r="D85" s="15" t="s">
        <v>35</v>
      </c>
      <c r="E85" s="57">
        <v>2008</v>
      </c>
      <c r="F85" s="57">
        <v>2012</v>
      </c>
      <c r="G85" s="14">
        <f t="shared" si="43"/>
        <v>4578568.59</v>
      </c>
      <c r="H85" s="9">
        <v>14299.59</v>
      </c>
      <c r="I85" s="9">
        <v>0</v>
      </c>
      <c r="J85" s="9">
        <f>6900460.41-163011.09-1992450-180730.32</f>
        <v>4564269</v>
      </c>
      <c r="K85" s="9">
        <v>0</v>
      </c>
      <c r="L85" s="9">
        <v>0</v>
      </c>
      <c r="M85" s="9">
        <v>0</v>
      </c>
      <c r="N85" s="9">
        <v>0</v>
      </c>
      <c r="O85" s="14">
        <f aca="true" t="shared" si="47" ref="O85:O92">J85+K85+L85+M85+N85</f>
        <v>4564269</v>
      </c>
    </row>
    <row r="86" spans="1:15" s="63" customFormat="1" ht="25.5" customHeight="1">
      <c r="A86" s="8">
        <v>3</v>
      </c>
      <c r="B86" s="8"/>
      <c r="C86" s="15" t="s">
        <v>94</v>
      </c>
      <c r="D86" s="15" t="s">
        <v>35</v>
      </c>
      <c r="E86" s="64">
        <v>2011</v>
      </c>
      <c r="F86" s="57">
        <v>2013</v>
      </c>
      <c r="G86" s="14">
        <f t="shared" si="43"/>
        <v>11000000</v>
      </c>
      <c r="H86" s="9">
        <v>0</v>
      </c>
      <c r="I86" s="9">
        <v>0</v>
      </c>
      <c r="J86" s="9">
        <f>5500000-5408365</f>
        <v>91635</v>
      </c>
      <c r="K86" s="9">
        <f>10500000+408365</f>
        <v>10908365</v>
      </c>
      <c r="L86" s="9">
        <v>0</v>
      </c>
      <c r="M86" s="9">
        <v>0</v>
      </c>
      <c r="N86" s="9">
        <v>0</v>
      </c>
      <c r="O86" s="14">
        <f t="shared" si="47"/>
        <v>11000000</v>
      </c>
    </row>
    <row r="87" spans="1:15" s="18" customFormat="1" ht="38.25" customHeight="1">
      <c r="A87" s="8">
        <v>4</v>
      </c>
      <c r="B87" s="8"/>
      <c r="C87" s="15" t="s">
        <v>96</v>
      </c>
      <c r="D87" s="15" t="s">
        <v>35</v>
      </c>
      <c r="E87" s="64">
        <v>2011</v>
      </c>
      <c r="F87" s="57">
        <v>2015</v>
      </c>
      <c r="G87" s="14">
        <f t="shared" si="43"/>
        <v>24273137</v>
      </c>
      <c r="H87" s="9">
        <v>0</v>
      </c>
      <c r="I87" s="9">
        <f>500000-71665.63</f>
        <v>428334.37</v>
      </c>
      <c r="J87" s="9">
        <f>2500000-2500000</f>
        <v>0</v>
      </c>
      <c r="K87" s="9">
        <v>0</v>
      </c>
      <c r="L87" s="9">
        <f>11773137+71665.63</f>
        <v>11844802.63</v>
      </c>
      <c r="M87" s="9">
        <v>12000000</v>
      </c>
      <c r="N87" s="9">
        <v>0</v>
      </c>
      <c r="O87" s="14">
        <f t="shared" si="47"/>
        <v>23844802.630000003</v>
      </c>
    </row>
    <row r="88" spans="1:15" s="63" customFormat="1" ht="38.25" customHeight="1">
      <c r="A88" s="8">
        <v>5</v>
      </c>
      <c r="B88" s="8"/>
      <c r="C88" s="15" t="s">
        <v>82</v>
      </c>
      <c r="D88" s="15" t="s">
        <v>35</v>
      </c>
      <c r="E88" s="64">
        <v>2010</v>
      </c>
      <c r="F88" s="57">
        <v>2012</v>
      </c>
      <c r="G88" s="14">
        <f t="shared" si="43"/>
        <v>4107959.73</v>
      </c>
      <c r="H88" s="9">
        <v>29280</v>
      </c>
      <c r="I88" s="9">
        <f>115000-4867.27</f>
        <v>110132.73</v>
      </c>
      <c r="J88" s="9">
        <f>4000000+287250-318703</f>
        <v>3968547</v>
      </c>
      <c r="K88" s="9">
        <f>355720-355720</f>
        <v>0</v>
      </c>
      <c r="L88" s="9">
        <v>0</v>
      </c>
      <c r="M88" s="9">
        <v>0</v>
      </c>
      <c r="N88" s="9">
        <v>0</v>
      </c>
      <c r="O88" s="14">
        <f t="shared" si="47"/>
        <v>3968547</v>
      </c>
    </row>
    <row r="89" spans="1:15" s="63" customFormat="1" ht="37.5" customHeight="1">
      <c r="A89" s="8">
        <v>6</v>
      </c>
      <c r="B89" s="8"/>
      <c r="C89" s="15" t="s">
        <v>15</v>
      </c>
      <c r="D89" s="15" t="s">
        <v>35</v>
      </c>
      <c r="E89" s="57">
        <v>2010</v>
      </c>
      <c r="F89" s="57">
        <v>2013</v>
      </c>
      <c r="G89" s="14">
        <f t="shared" si="43"/>
        <v>950000</v>
      </c>
      <c r="H89" s="9">
        <v>16470</v>
      </c>
      <c r="I89" s="9">
        <f>100000-95000-5000</f>
        <v>0</v>
      </c>
      <c r="J89" s="9">
        <f>50000-48170</f>
        <v>1830</v>
      </c>
      <c r="K89" s="9">
        <f>878530+5000+48170</f>
        <v>931700</v>
      </c>
      <c r="L89" s="9">
        <v>0</v>
      </c>
      <c r="M89" s="9">
        <v>0</v>
      </c>
      <c r="N89" s="9">
        <v>0</v>
      </c>
      <c r="O89" s="14">
        <f t="shared" si="47"/>
        <v>933530</v>
      </c>
    </row>
    <row r="90" spans="1:15" s="63" customFormat="1" ht="28.5" customHeight="1">
      <c r="A90" s="8">
        <v>7</v>
      </c>
      <c r="B90" s="8"/>
      <c r="C90" s="15" t="s">
        <v>68</v>
      </c>
      <c r="D90" s="15" t="s">
        <v>35</v>
      </c>
      <c r="E90" s="57">
        <v>2010</v>
      </c>
      <c r="F90" s="57">
        <v>2015</v>
      </c>
      <c r="G90" s="14">
        <f t="shared" si="43"/>
        <v>4016352.27</v>
      </c>
      <c r="H90" s="9">
        <v>182058.28</v>
      </c>
      <c r="I90" s="9">
        <v>26068.68</v>
      </c>
      <c r="J90" s="9">
        <f>3421+15000-535</f>
        <v>17886</v>
      </c>
      <c r="K90" s="9">
        <v>0</v>
      </c>
      <c r="L90" s="9">
        <f>9600000-9600000</f>
        <v>0</v>
      </c>
      <c r="M90" s="9">
        <f>6830602.88-3421-3022377.57-15000+535</f>
        <v>3790339.31</v>
      </c>
      <c r="N90" s="9">
        <v>0</v>
      </c>
      <c r="O90" s="14">
        <f t="shared" si="47"/>
        <v>3808225.31</v>
      </c>
    </row>
    <row r="91" spans="1:15" s="18" customFormat="1" ht="28.5" customHeight="1">
      <c r="A91" s="68">
        <v>8</v>
      </c>
      <c r="B91" s="68"/>
      <c r="C91" s="69" t="s">
        <v>77</v>
      </c>
      <c r="D91" s="15" t="s">
        <v>35</v>
      </c>
      <c r="E91" s="70">
        <v>2012</v>
      </c>
      <c r="F91" s="70">
        <v>2013</v>
      </c>
      <c r="G91" s="14">
        <f t="shared" si="43"/>
        <v>3000000</v>
      </c>
      <c r="H91" s="71">
        <v>0</v>
      </c>
      <c r="I91" s="71">
        <v>0</v>
      </c>
      <c r="J91" s="71">
        <f>70000-3421-15000-43200</f>
        <v>8379</v>
      </c>
      <c r="K91" s="71">
        <f>2930000+3421+15000+43200</f>
        <v>2991621</v>
      </c>
      <c r="L91" s="71">
        <v>0</v>
      </c>
      <c r="M91" s="71">
        <v>0</v>
      </c>
      <c r="N91" s="71">
        <v>0</v>
      </c>
      <c r="O91" s="14">
        <f t="shared" si="47"/>
        <v>3000000</v>
      </c>
    </row>
    <row r="92" spans="1:15" s="63" customFormat="1" ht="28.5" customHeight="1">
      <c r="A92" s="68">
        <v>9</v>
      </c>
      <c r="B92" s="68"/>
      <c r="C92" s="69" t="s">
        <v>83</v>
      </c>
      <c r="D92" s="15" t="s">
        <v>35</v>
      </c>
      <c r="E92" s="70">
        <v>2012</v>
      </c>
      <c r="F92" s="70">
        <v>2013</v>
      </c>
      <c r="G92" s="14">
        <f t="shared" si="43"/>
        <v>150000</v>
      </c>
      <c r="H92" s="71">
        <v>0</v>
      </c>
      <c r="I92" s="71">
        <v>0</v>
      </c>
      <c r="J92" s="71">
        <f>20000-14465</f>
        <v>5535</v>
      </c>
      <c r="K92" s="71">
        <f>130000+14465</f>
        <v>144465</v>
      </c>
      <c r="L92" s="71">
        <v>0</v>
      </c>
      <c r="M92" s="71">
        <v>0</v>
      </c>
      <c r="N92" s="71">
        <v>0</v>
      </c>
      <c r="O92" s="14">
        <f t="shared" si="47"/>
        <v>150000</v>
      </c>
    </row>
    <row r="93" spans="1:15" s="63" customFormat="1" ht="28.5" customHeight="1">
      <c r="A93" s="68">
        <v>10</v>
      </c>
      <c r="B93" s="68"/>
      <c r="C93" s="69" t="s">
        <v>103</v>
      </c>
      <c r="D93" s="15" t="s">
        <v>35</v>
      </c>
      <c r="E93" s="70">
        <v>2012</v>
      </c>
      <c r="F93" s="70">
        <v>2013</v>
      </c>
      <c r="G93" s="14">
        <f>H93+I93+J93+K93+L93+M93</f>
        <v>2000000</v>
      </c>
      <c r="H93" s="71">
        <v>0</v>
      </c>
      <c r="I93" s="71">
        <v>0</v>
      </c>
      <c r="J93" s="71">
        <f>10000-10000</f>
        <v>0</v>
      </c>
      <c r="K93" s="71">
        <f>1990000+10000</f>
        <v>2000000</v>
      </c>
      <c r="L93" s="71">
        <v>0</v>
      </c>
      <c r="M93" s="71">
        <v>0</v>
      </c>
      <c r="N93" s="71">
        <v>0</v>
      </c>
      <c r="O93" s="14">
        <f>J93+K93+L93+M93+N93</f>
        <v>2000000</v>
      </c>
    </row>
    <row r="94" spans="1:15" s="18" customFormat="1" ht="28.5" customHeight="1">
      <c r="A94" s="8">
        <v>11</v>
      </c>
      <c r="B94" s="8"/>
      <c r="C94" s="8" t="s">
        <v>16</v>
      </c>
      <c r="D94" s="15" t="s">
        <v>35</v>
      </c>
      <c r="E94" s="57">
        <v>2010</v>
      </c>
      <c r="F94" s="57">
        <v>2014</v>
      </c>
      <c r="G94" s="14">
        <f>H94+I94+J94+K94+L94+M94</f>
        <v>12000000</v>
      </c>
      <c r="H94" s="9">
        <v>0</v>
      </c>
      <c r="I94" s="9">
        <f>500000-200000-4308-130380</f>
        <v>165312</v>
      </c>
      <c r="J94" s="9">
        <f>500000+130380-624563</f>
        <v>5817</v>
      </c>
      <c r="K94" s="9">
        <v>5000000</v>
      </c>
      <c r="L94" s="9">
        <f>6200000+4308+624563</f>
        <v>6828871</v>
      </c>
      <c r="M94" s="9">
        <v>0</v>
      </c>
      <c r="N94" s="9">
        <v>0</v>
      </c>
      <c r="O94" s="14">
        <f>J94+K94+L94+M94+N94</f>
        <v>11834688</v>
      </c>
    </row>
    <row r="95" spans="1:15" s="88" customFormat="1" ht="31.5" customHeight="1">
      <c r="A95" s="84"/>
      <c r="B95" s="85">
        <v>60016</v>
      </c>
      <c r="C95" s="85" t="s">
        <v>23</v>
      </c>
      <c r="D95" s="85"/>
      <c r="E95" s="86"/>
      <c r="F95" s="86"/>
      <c r="G95" s="87">
        <f>G96+G97+G98+G99+G100+G101+G102+G103+G104+G105+G106</f>
        <v>53572623.94</v>
      </c>
      <c r="H95" s="87">
        <f aca="true" t="shared" si="48" ref="H95:N95">H96+H97+H98+H99+H100+H101+H102+H103+H104+H105+H106</f>
        <v>41943.6</v>
      </c>
      <c r="I95" s="87">
        <f t="shared" si="48"/>
        <v>819072.2899999999</v>
      </c>
      <c r="J95" s="87">
        <f t="shared" si="48"/>
        <v>1288896</v>
      </c>
      <c r="K95" s="87">
        <f t="shared" si="48"/>
        <v>6483266</v>
      </c>
      <c r="L95" s="87">
        <f t="shared" si="48"/>
        <v>15969003</v>
      </c>
      <c r="M95" s="87">
        <f t="shared" si="48"/>
        <v>14970443.05</v>
      </c>
      <c r="N95" s="87">
        <f t="shared" si="48"/>
        <v>14000000</v>
      </c>
      <c r="O95" s="87">
        <f>O96+O97+O98+O99+O100+O101+O102+O103+O104+O105+O106</f>
        <v>52711608.05</v>
      </c>
    </row>
    <row r="96" spans="1:15" s="18" customFormat="1" ht="28.5" customHeight="1">
      <c r="A96" s="8">
        <v>12</v>
      </c>
      <c r="B96" s="8"/>
      <c r="C96" s="8" t="s">
        <v>34</v>
      </c>
      <c r="D96" s="15" t="s">
        <v>35</v>
      </c>
      <c r="E96" s="57">
        <v>2010</v>
      </c>
      <c r="F96" s="57">
        <v>2015</v>
      </c>
      <c r="G96" s="14">
        <f aca="true" t="shared" si="49" ref="G96:G111">H96+I96+J96+K96+L96+M96</f>
        <v>1800000</v>
      </c>
      <c r="H96" s="9">
        <v>21081.6</v>
      </c>
      <c r="I96" s="9">
        <f>400000+411000-2524.65</f>
        <v>808475.35</v>
      </c>
      <c r="J96" s="9">
        <v>0</v>
      </c>
      <c r="K96" s="9">
        <v>0</v>
      </c>
      <c r="L96" s="9">
        <v>0</v>
      </c>
      <c r="M96" s="9">
        <f>967918.4+2524.65</f>
        <v>970443.05</v>
      </c>
      <c r="N96" s="9">
        <v>0</v>
      </c>
      <c r="O96" s="14">
        <f aca="true" t="shared" si="50" ref="O96:O105">J96+K96+L96+M96+N96</f>
        <v>970443.05</v>
      </c>
    </row>
    <row r="97" spans="1:15" s="63" customFormat="1" ht="28.5" customHeight="1">
      <c r="A97" s="8">
        <v>13</v>
      </c>
      <c r="B97" s="8"/>
      <c r="C97" s="15" t="s">
        <v>92</v>
      </c>
      <c r="D97" s="15" t="s">
        <v>35</v>
      </c>
      <c r="E97" s="57">
        <v>2012</v>
      </c>
      <c r="F97" s="57">
        <v>2013</v>
      </c>
      <c r="G97" s="14">
        <f t="shared" si="49"/>
        <v>250000</v>
      </c>
      <c r="H97" s="9">
        <v>0</v>
      </c>
      <c r="I97" s="9">
        <v>0</v>
      </c>
      <c r="J97" s="9">
        <f>10000-5198</f>
        <v>4802</v>
      </c>
      <c r="K97" s="9">
        <f>240000+5198</f>
        <v>245198</v>
      </c>
      <c r="L97" s="9">
        <v>0</v>
      </c>
      <c r="M97" s="9">
        <v>0</v>
      </c>
      <c r="N97" s="9">
        <v>0</v>
      </c>
      <c r="O97" s="14">
        <f t="shared" si="50"/>
        <v>250000</v>
      </c>
    </row>
    <row r="98" spans="1:15" s="18" customFormat="1" ht="28.5" customHeight="1">
      <c r="A98" s="8">
        <v>14</v>
      </c>
      <c r="B98" s="8"/>
      <c r="C98" s="15" t="s">
        <v>78</v>
      </c>
      <c r="D98" s="15" t="s">
        <v>35</v>
      </c>
      <c r="E98" s="57">
        <v>2012</v>
      </c>
      <c r="F98" s="57">
        <v>2014</v>
      </c>
      <c r="G98" s="14">
        <f t="shared" si="49"/>
        <v>800000</v>
      </c>
      <c r="H98" s="9">
        <v>0</v>
      </c>
      <c r="I98" s="9">
        <v>0</v>
      </c>
      <c r="J98" s="9">
        <f>50000-43911</f>
        <v>6089</v>
      </c>
      <c r="K98" s="9">
        <v>500000</v>
      </c>
      <c r="L98" s="9">
        <f>250000+43911</f>
        <v>293911</v>
      </c>
      <c r="M98" s="9">
        <v>0</v>
      </c>
      <c r="N98" s="9">
        <v>0</v>
      </c>
      <c r="O98" s="14">
        <f t="shared" si="50"/>
        <v>800000</v>
      </c>
    </row>
    <row r="99" spans="1:15" s="63" customFormat="1" ht="28.5" customHeight="1">
      <c r="A99" s="8">
        <v>15</v>
      </c>
      <c r="B99" s="8"/>
      <c r="C99" s="15" t="s">
        <v>99</v>
      </c>
      <c r="D99" s="15" t="s">
        <v>35</v>
      </c>
      <c r="E99" s="57">
        <v>2012</v>
      </c>
      <c r="F99" s="57">
        <v>2013</v>
      </c>
      <c r="G99" s="14">
        <f t="shared" si="49"/>
        <v>3000000</v>
      </c>
      <c r="H99" s="9">
        <v>0</v>
      </c>
      <c r="I99" s="9">
        <v>0</v>
      </c>
      <c r="J99" s="9">
        <f>50000-50000</f>
        <v>0</v>
      </c>
      <c r="K99" s="9">
        <f>2950000+50000</f>
        <v>3000000</v>
      </c>
      <c r="L99" s="9">
        <v>0</v>
      </c>
      <c r="M99" s="9">
        <v>0</v>
      </c>
      <c r="N99" s="9">
        <v>0</v>
      </c>
      <c r="O99" s="14">
        <f t="shared" si="50"/>
        <v>3000000</v>
      </c>
    </row>
    <row r="100" spans="1:15" s="63" customFormat="1" ht="28.5" customHeight="1">
      <c r="A100" s="8">
        <v>16</v>
      </c>
      <c r="B100" s="8"/>
      <c r="C100" s="15" t="s">
        <v>79</v>
      </c>
      <c r="D100" s="15" t="s">
        <v>35</v>
      </c>
      <c r="E100" s="57">
        <v>2012</v>
      </c>
      <c r="F100" s="57">
        <v>2014</v>
      </c>
      <c r="G100" s="14">
        <f t="shared" si="49"/>
        <v>700000</v>
      </c>
      <c r="H100" s="9">
        <v>0</v>
      </c>
      <c r="I100" s="9">
        <v>0</v>
      </c>
      <c r="J100" s="9">
        <f>30000-23911</f>
        <v>6089</v>
      </c>
      <c r="K100" s="9">
        <v>400000</v>
      </c>
      <c r="L100" s="9">
        <f>270000+23911</f>
        <v>293911</v>
      </c>
      <c r="M100" s="9">
        <v>0</v>
      </c>
      <c r="N100" s="9">
        <v>0</v>
      </c>
      <c r="O100" s="14">
        <f t="shared" si="50"/>
        <v>700000</v>
      </c>
    </row>
    <row r="101" spans="1:15" s="18" customFormat="1" ht="28.5" customHeight="1">
      <c r="A101" s="8">
        <v>17</v>
      </c>
      <c r="B101" s="8"/>
      <c r="C101" s="15" t="s">
        <v>111</v>
      </c>
      <c r="D101" s="15" t="s">
        <v>35</v>
      </c>
      <c r="E101" s="57">
        <v>2012</v>
      </c>
      <c r="F101" s="57">
        <v>2014</v>
      </c>
      <c r="G101" s="14">
        <f t="shared" si="49"/>
        <v>1100000</v>
      </c>
      <c r="H101" s="9">
        <v>0</v>
      </c>
      <c r="I101" s="9">
        <v>0</v>
      </c>
      <c r="J101" s="9">
        <f>50000-40160</f>
        <v>9840</v>
      </c>
      <c r="K101" s="9">
        <v>0</v>
      </c>
      <c r="L101" s="9">
        <f>1050000+40160</f>
        <v>1090160</v>
      </c>
      <c r="M101" s="9">
        <v>0</v>
      </c>
      <c r="N101" s="9">
        <v>0</v>
      </c>
      <c r="O101" s="14">
        <f t="shared" si="50"/>
        <v>1100000</v>
      </c>
    </row>
    <row r="102" spans="1:15" s="18" customFormat="1" ht="28.5" customHeight="1">
      <c r="A102" s="8">
        <v>18</v>
      </c>
      <c r="B102" s="8"/>
      <c r="C102" s="15" t="s">
        <v>80</v>
      </c>
      <c r="D102" s="15" t="s">
        <v>35</v>
      </c>
      <c r="E102" s="57">
        <v>2012</v>
      </c>
      <c r="F102" s="57">
        <v>2013</v>
      </c>
      <c r="G102" s="14">
        <f t="shared" si="49"/>
        <v>1000000</v>
      </c>
      <c r="H102" s="9">
        <v>0</v>
      </c>
      <c r="I102" s="9">
        <v>0</v>
      </c>
      <c r="J102" s="9">
        <f>50000-38068</f>
        <v>11932</v>
      </c>
      <c r="K102" s="9">
        <f>950000+38068</f>
        <v>988068</v>
      </c>
      <c r="L102" s="9">
        <v>0</v>
      </c>
      <c r="M102" s="9">
        <v>0</v>
      </c>
      <c r="N102" s="9">
        <v>0</v>
      </c>
      <c r="O102" s="14">
        <f t="shared" si="50"/>
        <v>1000000</v>
      </c>
    </row>
    <row r="103" spans="1:15" s="18" customFormat="1" ht="28.5" customHeight="1">
      <c r="A103" s="8">
        <v>19</v>
      </c>
      <c r="B103" s="8"/>
      <c r="C103" s="15" t="s">
        <v>81</v>
      </c>
      <c r="D103" s="15" t="s">
        <v>35</v>
      </c>
      <c r="E103" s="57">
        <v>2012</v>
      </c>
      <c r="F103" s="57">
        <v>2014</v>
      </c>
      <c r="G103" s="14">
        <f t="shared" si="49"/>
        <v>600000</v>
      </c>
      <c r="H103" s="9">
        <v>0</v>
      </c>
      <c r="I103" s="9">
        <v>0</v>
      </c>
      <c r="J103" s="9">
        <f>30000-21021</f>
        <v>8979</v>
      </c>
      <c r="K103" s="9">
        <f>300000</f>
        <v>300000</v>
      </c>
      <c r="L103" s="9">
        <f>270000+21021</f>
        <v>291021</v>
      </c>
      <c r="M103" s="9">
        <v>0</v>
      </c>
      <c r="N103" s="9">
        <v>0</v>
      </c>
      <c r="O103" s="14">
        <f t="shared" si="50"/>
        <v>600000</v>
      </c>
    </row>
    <row r="104" spans="1:15" s="63" customFormat="1" ht="35.25" customHeight="1">
      <c r="A104" s="8">
        <v>20</v>
      </c>
      <c r="B104" s="8"/>
      <c r="C104" s="15" t="s">
        <v>112</v>
      </c>
      <c r="D104" s="15" t="s">
        <v>35</v>
      </c>
      <c r="E104" s="57">
        <v>2011</v>
      </c>
      <c r="F104" s="57">
        <v>2012</v>
      </c>
      <c r="G104" s="14">
        <f t="shared" si="49"/>
        <v>767426.94</v>
      </c>
      <c r="H104" s="9">
        <v>20862</v>
      </c>
      <c r="I104" s="9">
        <f>12200-1603.06</f>
        <v>10596.94</v>
      </c>
      <c r="J104" s="9">
        <f>1087800-319800-30803-1229</f>
        <v>735968</v>
      </c>
      <c r="K104" s="9">
        <v>0</v>
      </c>
      <c r="L104" s="9">
        <v>0</v>
      </c>
      <c r="M104" s="9">
        <v>0</v>
      </c>
      <c r="N104" s="9">
        <v>0</v>
      </c>
      <c r="O104" s="14">
        <f t="shared" si="50"/>
        <v>735968</v>
      </c>
    </row>
    <row r="105" spans="1:15" s="63" customFormat="1" ht="35.25" customHeight="1">
      <c r="A105" s="8">
        <v>21</v>
      </c>
      <c r="B105" s="8"/>
      <c r="C105" s="15" t="s">
        <v>93</v>
      </c>
      <c r="D105" s="15" t="s">
        <v>35</v>
      </c>
      <c r="E105" s="57">
        <v>2011</v>
      </c>
      <c r="F105" s="57">
        <v>2012</v>
      </c>
      <c r="G105" s="14">
        <f t="shared" si="49"/>
        <v>505197</v>
      </c>
      <c r="H105" s="9">
        <v>0</v>
      </c>
      <c r="I105" s="9">
        <v>0</v>
      </c>
      <c r="J105" s="9">
        <f>850000-237000-90000-16966-837</f>
        <v>505197</v>
      </c>
      <c r="K105" s="9">
        <v>0</v>
      </c>
      <c r="L105" s="9">
        <v>0</v>
      </c>
      <c r="M105" s="9">
        <v>0</v>
      </c>
      <c r="N105" s="9">
        <v>0</v>
      </c>
      <c r="O105" s="14">
        <f t="shared" si="50"/>
        <v>505197</v>
      </c>
    </row>
    <row r="106" spans="1:15" s="18" customFormat="1" ht="35.25" customHeight="1">
      <c r="A106" s="8">
        <v>22</v>
      </c>
      <c r="B106" s="8"/>
      <c r="C106" s="15" t="s">
        <v>105</v>
      </c>
      <c r="D106" s="15" t="s">
        <v>35</v>
      </c>
      <c r="E106" s="57">
        <v>2012</v>
      </c>
      <c r="F106" s="57">
        <v>2016</v>
      </c>
      <c r="G106" s="14">
        <f>H106+I106+J106+K106+L106+M106+N106</f>
        <v>43050000</v>
      </c>
      <c r="H106" s="9">
        <v>0</v>
      </c>
      <c r="I106" s="9">
        <v>0</v>
      </c>
      <c r="J106" s="9">
        <v>0</v>
      </c>
      <c r="K106" s="9">
        <v>1050000</v>
      </c>
      <c r="L106" s="9">
        <v>14000000</v>
      </c>
      <c r="M106" s="9">
        <v>14000000</v>
      </c>
      <c r="N106" s="9">
        <v>14000000</v>
      </c>
      <c r="O106" s="14">
        <f>J106+K106+L106+M106+N106</f>
        <v>43050000</v>
      </c>
    </row>
    <row r="107" spans="1:15" s="26" customFormat="1" ht="24.75" customHeight="1">
      <c r="A107" s="98">
        <v>700</v>
      </c>
      <c r="B107" s="98"/>
      <c r="C107" s="24" t="s">
        <v>31</v>
      </c>
      <c r="D107" s="24"/>
      <c r="E107" s="53"/>
      <c r="F107" s="53"/>
      <c r="G107" s="25">
        <f>H107+I107+J107+K107+L107+M107</f>
        <v>371047.22</v>
      </c>
      <c r="H107" s="25">
        <f>H108</f>
        <v>65923.22</v>
      </c>
      <c r="I107" s="25">
        <f aca="true" t="shared" si="51" ref="I107:N107">I108</f>
        <v>0</v>
      </c>
      <c r="J107" s="25">
        <f t="shared" si="51"/>
        <v>5124</v>
      </c>
      <c r="K107" s="25">
        <f t="shared" si="51"/>
        <v>300000</v>
      </c>
      <c r="L107" s="25">
        <f t="shared" si="51"/>
        <v>0</v>
      </c>
      <c r="M107" s="25">
        <f t="shared" si="51"/>
        <v>0</v>
      </c>
      <c r="N107" s="25">
        <f t="shared" si="51"/>
        <v>0</v>
      </c>
      <c r="O107" s="42">
        <f>O108</f>
        <v>305124</v>
      </c>
    </row>
    <row r="108" spans="1:15" s="67" customFormat="1" ht="24.75" customHeight="1">
      <c r="A108" s="7"/>
      <c r="B108" s="7">
        <v>70005</v>
      </c>
      <c r="C108" s="7" t="s">
        <v>32</v>
      </c>
      <c r="D108" s="7"/>
      <c r="E108" s="56"/>
      <c r="F108" s="56"/>
      <c r="G108" s="14">
        <f>H108+I108+J108+K108+L108+M108</f>
        <v>371047.22</v>
      </c>
      <c r="H108" s="14">
        <f>H109+H110</f>
        <v>65923.22</v>
      </c>
      <c r="I108" s="14">
        <f aca="true" t="shared" si="52" ref="I108:O108">I109+I110</f>
        <v>0</v>
      </c>
      <c r="J108" s="14">
        <f t="shared" si="52"/>
        <v>5124</v>
      </c>
      <c r="K108" s="14">
        <f t="shared" si="52"/>
        <v>300000</v>
      </c>
      <c r="L108" s="14">
        <f t="shared" si="52"/>
        <v>0</v>
      </c>
      <c r="M108" s="14">
        <f t="shared" si="52"/>
        <v>0</v>
      </c>
      <c r="N108" s="14">
        <f t="shared" si="52"/>
        <v>0</v>
      </c>
      <c r="O108" s="14">
        <f t="shared" si="52"/>
        <v>305124</v>
      </c>
    </row>
    <row r="109" spans="1:15" s="126" customFormat="1" ht="27.75" customHeight="1">
      <c r="A109" s="8">
        <v>23</v>
      </c>
      <c r="B109" s="125"/>
      <c r="C109" s="15" t="s">
        <v>106</v>
      </c>
      <c r="D109" s="15" t="s">
        <v>35</v>
      </c>
      <c r="E109" s="57">
        <v>2012</v>
      </c>
      <c r="F109" s="57">
        <v>2013</v>
      </c>
      <c r="G109" s="14">
        <f>H109+I109+J109+K109+L109+M109</f>
        <v>300000</v>
      </c>
      <c r="H109" s="9">
        <v>0</v>
      </c>
      <c r="I109" s="9">
        <v>0</v>
      </c>
      <c r="J109" s="9">
        <f>50000-50000</f>
        <v>0</v>
      </c>
      <c r="K109" s="9">
        <f>250000+50000</f>
        <v>300000</v>
      </c>
      <c r="L109" s="9">
        <v>0</v>
      </c>
      <c r="M109" s="9">
        <v>0</v>
      </c>
      <c r="N109" s="9">
        <v>0</v>
      </c>
      <c r="O109" s="14">
        <f>G109-H109-I109</f>
        <v>300000</v>
      </c>
    </row>
    <row r="110" spans="1:15" s="67" customFormat="1" ht="52.5" customHeight="1">
      <c r="A110" s="8">
        <v>24</v>
      </c>
      <c r="B110" s="8"/>
      <c r="C110" s="15" t="s">
        <v>30</v>
      </c>
      <c r="D110" s="15" t="s">
        <v>35</v>
      </c>
      <c r="E110" s="57">
        <v>2007</v>
      </c>
      <c r="F110" s="57">
        <v>2012</v>
      </c>
      <c r="G110" s="14">
        <f>H110+I110+J110+K110+L110+M110</f>
        <v>71047.22</v>
      </c>
      <c r="H110" s="9">
        <v>65923.22</v>
      </c>
      <c r="I110" s="9">
        <v>0</v>
      </c>
      <c r="J110" s="9">
        <v>5124</v>
      </c>
      <c r="K110" s="9">
        <v>0</v>
      </c>
      <c r="L110" s="9">
        <f>L111</f>
        <v>0</v>
      </c>
      <c r="M110" s="9">
        <f>M111</f>
        <v>0</v>
      </c>
      <c r="N110" s="9">
        <f>N111</f>
        <v>0</v>
      </c>
      <c r="O110" s="14">
        <f>J110+K110+L110+M110+N110</f>
        <v>5124</v>
      </c>
    </row>
    <row r="111" spans="1:15" s="35" customFormat="1" ht="24" customHeight="1">
      <c r="A111" s="90">
        <v>801</v>
      </c>
      <c r="B111" s="91"/>
      <c r="C111" s="24" t="s">
        <v>17</v>
      </c>
      <c r="D111" s="24"/>
      <c r="E111" s="53"/>
      <c r="F111" s="53"/>
      <c r="G111" s="25">
        <f t="shared" si="49"/>
        <v>12159480</v>
      </c>
      <c r="H111" s="25">
        <f>H112</f>
        <v>60975.6</v>
      </c>
      <c r="I111" s="25">
        <f aca="true" t="shared" si="53" ref="I111:O111">I112</f>
        <v>496322.31000000006</v>
      </c>
      <c r="J111" s="25">
        <f t="shared" si="53"/>
        <v>2085744</v>
      </c>
      <c r="K111" s="25">
        <f t="shared" si="53"/>
        <v>9516438.09</v>
      </c>
      <c r="L111" s="25">
        <f t="shared" si="53"/>
        <v>0</v>
      </c>
      <c r="M111" s="42">
        <f t="shared" si="53"/>
        <v>0</v>
      </c>
      <c r="N111" s="42">
        <f t="shared" si="53"/>
        <v>0</v>
      </c>
      <c r="O111" s="42">
        <f t="shared" si="53"/>
        <v>11602182.09</v>
      </c>
    </row>
    <row r="112" spans="1:15" s="3" customFormat="1" ht="30.75" customHeight="1">
      <c r="A112" s="11"/>
      <c r="B112" s="11">
        <v>80104</v>
      </c>
      <c r="C112" s="11" t="s">
        <v>25</v>
      </c>
      <c r="D112" s="11"/>
      <c r="E112" s="61"/>
      <c r="F112" s="61"/>
      <c r="G112" s="14">
        <f aca="true" t="shared" si="54" ref="G112:G132">H112+I112+J112+K112+L112+M112</f>
        <v>12159480</v>
      </c>
      <c r="H112" s="14">
        <f>H113+H114+H115</f>
        <v>60975.6</v>
      </c>
      <c r="I112" s="14">
        <f aca="true" t="shared" si="55" ref="I112:N112">I113+I114+I115</f>
        <v>496322.31000000006</v>
      </c>
      <c r="J112" s="14">
        <f t="shared" si="55"/>
        <v>2085744</v>
      </c>
      <c r="K112" s="14">
        <f t="shared" si="55"/>
        <v>9516438.09</v>
      </c>
      <c r="L112" s="14">
        <f t="shared" si="55"/>
        <v>0</v>
      </c>
      <c r="M112" s="14">
        <f t="shared" si="55"/>
        <v>0</v>
      </c>
      <c r="N112" s="14">
        <f t="shared" si="55"/>
        <v>0</v>
      </c>
      <c r="O112" s="40">
        <f>G112-H112-I112</f>
        <v>11602182.09</v>
      </c>
    </row>
    <row r="113" spans="1:15" s="18" customFormat="1" ht="27.75" customHeight="1">
      <c r="A113" s="8">
        <v>25</v>
      </c>
      <c r="B113" s="8"/>
      <c r="C113" s="15" t="s">
        <v>69</v>
      </c>
      <c r="D113" s="15" t="s">
        <v>35</v>
      </c>
      <c r="E113" s="57">
        <v>2010</v>
      </c>
      <c r="F113" s="57">
        <v>2013</v>
      </c>
      <c r="G113" s="14">
        <f t="shared" si="54"/>
        <v>4000000</v>
      </c>
      <c r="H113" s="9">
        <v>0</v>
      </c>
      <c r="I113" s="9">
        <f>1200000-500000-600000-100000</f>
        <v>0</v>
      </c>
      <c r="J113" s="9">
        <f>100000-4000-89506</f>
        <v>6494</v>
      </c>
      <c r="K113" s="9">
        <f>3800000+100000+4000+89506</f>
        <v>3993506</v>
      </c>
      <c r="L113" s="9">
        <v>0</v>
      </c>
      <c r="M113" s="9">
        <v>0</v>
      </c>
      <c r="N113" s="9">
        <v>0</v>
      </c>
      <c r="O113" s="14">
        <f>G113-H113-I113</f>
        <v>4000000</v>
      </c>
    </row>
    <row r="114" spans="1:15" s="18" customFormat="1" ht="30" customHeight="1">
      <c r="A114" s="8">
        <v>26</v>
      </c>
      <c r="B114" s="8"/>
      <c r="C114" s="8" t="s">
        <v>11</v>
      </c>
      <c r="D114" s="15" t="s">
        <v>35</v>
      </c>
      <c r="E114" s="57">
        <v>2010</v>
      </c>
      <c r="F114" s="57">
        <v>2013</v>
      </c>
      <c r="G114" s="14">
        <f t="shared" si="54"/>
        <v>4159480</v>
      </c>
      <c r="H114" s="9">
        <v>60975.6</v>
      </c>
      <c r="I114" s="9">
        <f>200000+950000-653677.69</f>
        <v>496322.31000000006</v>
      </c>
      <c r="J114" s="9">
        <f>1200000+810000+21985</f>
        <v>2031985</v>
      </c>
      <c r="K114" s="9">
        <f>739024.4+653677.69+110000+67495</f>
        <v>1570197.0899999999</v>
      </c>
      <c r="L114" s="9">
        <v>0</v>
      </c>
      <c r="M114" s="9">
        <v>0</v>
      </c>
      <c r="N114" s="9">
        <v>0</v>
      </c>
      <c r="O114" s="14">
        <f>G114-H114-I114</f>
        <v>3602182.09</v>
      </c>
    </row>
    <row r="115" spans="1:15" s="18" customFormat="1" ht="30" customHeight="1">
      <c r="A115" s="8">
        <v>27</v>
      </c>
      <c r="B115" s="8"/>
      <c r="C115" s="8" t="s">
        <v>12</v>
      </c>
      <c r="D115" s="15" t="s">
        <v>35</v>
      </c>
      <c r="E115" s="57">
        <v>2011</v>
      </c>
      <c r="F115" s="57">
        <v>2013</v>
      </c>
      <c r="G115" s="14">
        <f t="shared" si="54"/>
        <v>4000000</v>
      </c>
      <c r="H115" s="9">
        <v>0</v>
      </c>
      <c r="I115" s="9">
        <f>80000-80000</f>
        <v>0</v>
      </c>
      <c r="J115" s="9">
        <f>50000+4000-6735</f>
        <v>47265</v>
      </c>
      <c r="K115" s="9">
        <f>3870000+80000-4000+6735</f>
        <v>3952735</v>
      </c>
      <c r="L115" s="9">
        <v>0</v>
      </c>
      <c r="M115" s="9">
        <v>0</v>
      </c>
      <c r="N115" s="9">
        <v>0</v>
      </c>
      <c r="O115" s="14">
        <f>G115-H115-I115</f>
        <v>4000000</v>
      </c>
    </row>
    <row r="116" spans="1:15" s="35" customFormat="1" ht="19.5" customHeight="1">
      <c r="A116" s="90">
        <v>852</v>
      </c>
      <c r="B116" s="91"/>
      <c r="C116" s="24" t="s">
        <v>18</v>
      </c>
      <c r="D116" s="24"/>
      <c r="E116" s="53"/>
      <c r="F116" s="53"/>
      <c r="G116" s="25">
        <f t="shared" si="54"/>
        <v>382652.48</v>
      </c>
      <c r="H116" s="25">
        <f aca="true" t="shared" si="56" ref="H116:O116">H117</f>
        <v>7320</v>
      </c>
      <c r="I116" s="25">
        <f t="shared" si="56"/>
        <v>255532.47999999998</v>
      </c>
      <c r="J116" s="25">
        <f t="shared" si="56"/>
        <v>119800</v>
      </c>
      <c r="K116" s="25">
        <f t="shared" si="56"/>
        <v>0</v>
      </c>
      <c r="L116" s="25">
        <f t="shared" si="56"/>
        <v>0</v>
      </c>
      <c r="M116" s="42">
        <f t="shared" si="56"/>
        <v>0</v>
      </c>
      <c r="N116" s="42">
        <f t="shared" si="56"/>
        <v>0</v>
      </c>
      <c r="O116" s="42">
        <f t="shared" si="56"/>
        <v>119800</v>
      </c>
    </row>
    <row r="117" spans="1:15" s="3" customFormat="1" ht="22.5" customHeight="1">
      <c r="A117" s="11"/>
      <c r="B117" s="11">
        <v>85202</v>
      </c>
      <c r="C117" s="11" t="s">
        <v>26</v>
      </c>
      <c r="D117" s="11"/>
      <c r="E117" s="61"/>
      <c r="F117" s="61"/>
      <c r="G117" s="14">
        <f t="shared" si="54"/>
        <v>382652.48</v>
      </c>
      <c r="H117" s="14">
        <v>7320</v>
      </c>
      <c r="I117" s="14">
        <f aca="true" t="shared" si="57" ref="I117:N117">I118</f>
        <v>255532.47999999998</v>
      </c>
      <c r="J117" s="14">
        <f t="shared" si="57"/>
        <v>119800</v>
      </c>
      <c r="K117" s="14">
        <f t="shared" si="57"/>
        <v>0</v>
      </c>
      <c r="L117" s="14">
        <f t="shared" si="57"/>
        <v>0</v>
      </c>
      <c r="M117" s="14">
        <f t="shared" si="57"/>
        <v>0</v>
      </c>
      <c r="N117" s="14">
        <f t="shared" si="57"/>
        <v>0</v>
      </c>
      <c r="O117" s="40">
        <f>G117-H117-I117</f>
        <v>119800</v>
      </c>
    </row>
    <row r="118" spans="1:15" s="63" customFormat="1" ht="27.75" customHeight="1">
      <c r="A118" s="8">
        <v>28</v>
      </c>
      <c r="B118" s="8"/>
      <c r="C118" s="8" t="s">
        <v>59</v>
      </c>
      <c r="D118" s="15" t="s">
        <v>35</v>
      </c>
      <c r="E118" s="57">
        <v>2010</v>
      </c>
      <c r="F118" s="57">
        <v>2012</v>
      </c>
      <c r="G118" s="14">
        <f>H118+I118+J118+K118+L118+M118</f>
        <v>382652.48</v>
      </c>
      <c r="H118" s="9">
        <v>7320</v>
      </c>
      <c r="I118" s="9">
        <f>1000000-300000-314400-130067.52</f>
        <v>255532.47999999998</v>
      </c>
      <c r="J118" s="9">
        <f>500000-50000-330200</f>
        <v>119800</v>
      </c>
      <c r="K118" s="9">
        <f>7707080+130067.52-7837147.52</f>
        <v>0</v>
      </c>
      <c r="L118" s="9">
        <v>0</v>
      </c>
      <c r="M118" s="9">
        <v>0</v>
      </c>
      <c r="N118" s="9">
        <v>0</v>
      </c>
      <c r="O118" s="14">
        <f>G118-H118-I118</f>
        <v>119800</v>
      </c>
    </row>
    <row r="119" spans="1:15" s="35" customFormat="1" ht="19.5" customHeight="1">
      <c r="A119" s="90">
        <v>900</v>
      </c>
      <c r="B119" s="91"/>
      <c r="C119" s="24" t="s">
        <v>51</v>
      </c>
      <c r="D119" s="24"/>
      <c r="E119" s="53"/>
      <c r="F119" s="53"/>
      <c r="G119" s="25">
        <f>H119+I119+J119+K119+L119+M119+N119</f>
        <v>38450000</v>
      </c>
      <c r="H119" s="25">
        <f>H122+H120</f>
        <v>0</v>
      </c>
      <c r="I119" s="25">
        <f>I122</f>
        <v>0</v>
      </c>
      <c r="J119" s="25">
        <f>J122+J120</f>
        <v>131615</v>
      </c>
      <c r="K119" s="25">
        <f>K122+K120</f>
        <v>5450000</v>
      </c>
      <c r="L119" s="25">
        <f>L122+L120</f>
        <v>11000000</v>
      </c>
      <c r="M119" s="25">
        <f>M122+M120</f>
        <v>15868385</v>
      </c>
      <c r="N119" s="25">
        <f>N122+N120</f>
        <v>6000000</v>
      </c>
      <c r="O119" s="42">
        <f>N119+M119+L119+K119+J119</f>
        <v>38450000</v>
      </c>
    </row>
    <row r="120" spans="1:15" s="3" customFormat="1" ht="19.5" customHeight="1">
      <c r="A120" s="73"/>
      <c r="B120" s="74">
        <v>90001</v>
      </c>
      <c r="C120" s="7" t="s">
        <v>107</v>
      </c>
      <c r="D120" s="7"/>
      <c r="E120" s="56"/>
      <c r="F120" s="56"/>
      <c r="G120" s="14">
        <f>G121</f>
        <v>18450000</v>
      </c>
      <c r="H120" s="14">
        <f aca="true" t="shared" si="58" ref="H120:O120">H121</f>
        <v>0</v>
      </c>
      <c r="I120" s="14">
        <f t="shared" si="58"/>
        <v>0</v>
      </c>
      <c r="J120" s="14">
        <f t="shared" si="58"/>
        <v>0</v>
      </c>
      <c r="K120" s="14">
        <f t="shared" si="58"/>
        <v>450000</v>
      </c>
      <c r="L120" s="14">
        <f t="shared" si="58"/>
        <v>6000000</v>
      </c>
      <c r="M120" s="14">
        <f t="shared" si="58"/>
        <v>6000000</v>
      </c>
      <c r="N120" s="14">
        <f t="shared" si="58"/>
        <v>6000000</v>
      </c>
      <c r="O120" s="14">
        <f t="shared" si="58"/>
        <v>18450000</v>
      </c>
    </row>
    <row r="121" spans="1:15" s="3" customFormat="1" ht="31.5" customHeight="1">
      <c r="A121" s="81">
        <v>29</v>
      </c>
      <c r="B121" s="56"/>
      <c r="C121" s="15" t="s">
        <v>105</v>
      </c>
      <c r="D121" s="15" t="s">
        <v>35</v>
      </c>
      <c r="E121" s="57">
        <v>2012</v>
      </c>
      <c r="F121" s="57">
        <v>2016</v>
      </c>
      <c r="G121" s="9">
        <f>H121+I121+J121+K121+L121+M121+N121</f>
        <v>18450000</v>
      </c>
      <c r="H121" s="9">
        <v>0</v>
      </c>
      <c r="I121" s="9">
        <v>0</v>
      </c>
      <c r="J121" s="9">
        <v>0</v>
      </c>
      <c r="K121" s="9">
        <v>450000</v>
      </c>
      <c r="L121" s="9">
        <v>6000000</v>
      </c>
      <c r="M121" s="9">
        <v>6000000</v>
      </c>
      <c r="N121" s="9">
        <v>6000000</v>
      </c>
      <c r="O121" s="9">
        <f>G121-H121-I121</f>
        <v>18450000</v>
      </c>
    </row>
    <row r="122" spans="1:15" s="3" customFormat="1" ht="22.5" customHeight="1">
      <c r="A122" s="11"/>
      <c r="B122" s="11">
        <v>90095</v>
      </c>
      <c r="C122" s="11" t="s">
        <v>84</v>
      </c>
      <c r="D122" s="11"/>
      <c r="E122" s="61"/>
      <c r="F122" s="61"/>
      <c r="G122" s="14">
        <f>H122+I122+J122+K122+L122+M122</f>
        <v>20000000</v>
      </c>
      <c r="H122" s="14">
        <v>0</v>
      </c>
      <c r="I122" s="14">
        <f aca="true" t="shared" si="59" ref="I122:N122">I123</f>
        <v>0</v>
      </c>
      <c r="J122" s="14">
        <f t="shared" si="59"/>
        <v>131615</v>
      </c>
      <c r="K122" s="14">
        <f t="shared" si="59"/>
        <v>5000000</v>
      </c>
      <c r="L122" s="14">
        <f t="shared" si="59"/>
        <v>5000000</v>
      </c>
      <c r="M122" s="14">
        <f t="shared" si="59"/>
        <v>9868385</v>
      </c>
      <c r="N122" s="14">
        <f t="shared" si="59"/>
        <v>0</v>
      </c>
      <c r="O122" s="40">
        <f>G122-H122-I122</f>
        <v>20000000</v>
      </c>
    </row>
    <row r="123" spans="1:15" s="63" customFormat="1" ht="27.75" customHeight="1">
      <c r="A123" s="8">
        <v>30</v>
      </c>
      <c r="B123" s="8"/>
      <c r="C123" s="15" t="s">
        <v>108</v>
      </c>
      <c r="D123" s="15" t="s">
        <v>35</v>
      </c>
      <c r="E123" s="57">
        <v>2012</v>
      </c>
      <c r="F123" s="57">
        <v>215</v>
      </c>
      <c r="G123" s="14">
        <f>H123+I123+J123+K123+L123+M123</f>
        <v>20000000</v>
      </c>
      <c r="H123" s="9">
        <v>0</v>
      </c>
      <c r="I123" s="9">
        <v>0</v>
      </c>
      <c r="J123" s="9">
        <f>200000-68385</f>
        <v>131615</v>
      </c>
      <c r="K123" s="9">
        <v>5000000</v>
      </c>
      <c r="L123" s="9">
        <v>5000000</v>
      </c>
      <c r="M123" s="9">
        <f>9800000+68385</f>
        <v>9868385</v>
      </c>
      <c r="N123" s="9">
        <v>0</v>
      </c>
      <c r="O123" s="14">
        <f>G123-H123-I123</f>
        <v>20000000</v>
      </c>
    </row>
    <row r="124" spans="1:15" s="35" customFormat="1" ht="19.5" customHeight="1">
      <c r="A124" s="90">
        <v>921</v>
      </c>
      <c r="B124" s="91"/>
      <c r="C124" s="24" t="s">
        <v>19</v>
      </c>
      <c r="D124" s="24"/>
      <c r="E124" s="53"/>
      <c r="F124" s="53"/>
      <c r="G124" s="25">
        <f t="shared" si="54"/>
        <v>27250000</v>
      </c>
      <c r="H124" s="25">
        <f>H125</f>
        <v>1532928.6099999999</v>
      </c>
      <c r="I124" s="25">
        <f aca="true" t="shared" si="60" ref="I124:O124">I125</f>
        <v>625353.13</v>
      </c>
      <c r="J124" s="25">
        <f t="shared" si="60"/>
        <v>0</v>
      </c>
      <c r="K124" s="25">
        <f t="shared" si="60"/>
        <v>6940010.66</v>
      </c>
      <c r="L124" s="25">
        <f t="shared" si="60"/>
        <v>5480000</v>
      </c>
      <c r="M124" s="42">
        <f t="shared" si="60"/>
        <v>12671707.6</v>
      </c>
      <c r="N124" s="42">
        <f t="shared" si="60"/>
        <v>0</v>
      </c>
      <c r="O124" s="42">
        <f t="shared" si="60"/>
        <v>25091718.26</v>
      </c>
    </row>
    <row r="125" spans="1:15" s="3" customFormat="1" ht="20.25" customHeight="1">
      <c r="A125" s="8"/>
      <c r="B125" s="7">
        <v>92120</v>
      </c>
      <c r="C125" s="7" t="s">
        <v>27</v>
      </c>
      <c r="D125" s="7"/>
      <c r="E125" s="56"/>
      <c r="F125" s="56"/>
      <c r="G125" s="14">
        <f t="shared" si="54"/>
        <v>27250000</v>
      </c>
      <c r="H125" s="14">
        <f aca="true" t="shared" si="61" ref="H125:N125">H126+H127+H128</f>
        <v>1532928.6099999999</v>
      </c>
      <c r="I125" s="14">
        <f t="shared" si="61"/>
        <v>625353.13</v>
      </c>
      <c r="J125" s="14">
        <f t="shared" si="61"/>
        <v>0</v>
      </c>
      <c r="K125" s="14">
        <f t="shared" si="61"/>
        <v>6940010.66</v>
      </c>
      <c r="L125" s="14">
        <f t="shared" si="61"/>
        <v>5480000</v>
      </c>
      <c r="M125" s="14">
        <f t="shared" si="61"/>
        <v>12671707.6</v>
      </c>
      <c r="N125" s="14">
        <f t="shared" si="61"/>
        <v>0</v>
      </c>
      <c r="O125" s="14">
        <f>G125-H125-I125</f>
        <v>25091718.26</v>
      </c>
    </row>
    <row r="126" spans="1:15" s="63" customFormat="1" ht="24.75" customHeight="1">
      <c r="A126" s="8">
        <v>31</v>
      </c>
      <c r="B126" s="8"/>
      <c r="C126" s="8" t="s">
        <v>13</v>
      </c>
      <c r="D126" s="15" t="s">
        <v>35</v>
      </c>
      <c r="E126" s="57">
        <v>2007</v>
      </c>
      <c r="F126" s="57">
        <v>2015</v>
      </c>
      <c r="G126" s="14">
        <f t="shared" si="54"/>
        <v>24370000</v>
      </c>
      <c r="H126" s="9">
        <v>1218292.4</v>
      </c>
      <c r="I126" s="9">
        <f>3400000-380000-1944000-1000000-76000</f>
        <v>0</v>
      </c>
      <c r="J126" s="9">
        <f>100000-100000</f>
        <v>0</v>
      </c>
      <c r="K126" s="9">
        <v>5000000</v>
      </c>
      <c r="L126" s="9">
        <f>5000000+380000+100000</f>
        <v>5480000</v>
      </c>
      <c r="M126" s="9">
        <f>4751707.6+1944000+1000000+6118292-1218292+76000</f>
        <v>12671707.6</v>
      </c>
      <c r="N126" s="9">
        <v>0</v>
      </c>
      <c r="O126" s="14">
        <f>G126-H126-I126</f>
        <v>23151707.6</v>
      </c>
    </row>
    <row r="127" spans="1:15" s="63" customFormat="1" ht="30" customHeight="1">
      <c r="A127" s="8">
        <v>32</v>
      </c>
      <c r="B127" s="8"/>
      <c r="C127" s="15" t="s">
        <v>36</v>
      </c>
      <c r="D127" s="15" t="s">
        <v>35</v>
      </c>
      <c r="E127" s="57">
        <v>2011</v>
      </c>
      <c r="F127" s="57">
        <v>2013</v>
      </c>
      <c r="G127" s="14">
        <f t="shared" si="54"/>
        <v>950000</v>
      </c>
      <c r="H127" s="9">
        <v>0</v>
      </c>
      <c r="I127" s="9">
        <f>200000-130000-70000</f>
        <v>0</v>
      </c>
      <c r="J127" s="9">
        <f>300000-300000</f>
        <v>0</v>
      </c>
      <c r="K127" s="9">
        <f>580000+70000+300000</f>
        <v>950000</v>
      </c>
      <c r="L127" s="9">
        <v>0</v>
      </c>
      <c r="M127" s="9">
        <v>0</v>
      </c>
      <c r="N127" s="9">
        <v>0</v>
      </c>
      <c r="O127" s="14">
        <f>G127-H127-I127</f>
        <v>950000</v>
      </c>
    </row>
    <row r="128" spans="1:15" s="18" customFormat="1" ht="33.75" customHeight="1">
      <c r="A128" s="8">
        <v>33</v>
      </c>
      <c r="B128" s="8"/>
      <c r="C128" s="15" t="s">
        <v>68</v>
      </c>
      <c r="D128" s="15" t="s">
        <v>35</v>
      </c>
      <c r="E128" s="57">
        <v>2009</v>
      </c>
      <c r="F128" s="57">
        <v>2013</v>
      </c>
      <c r="G128" s="14">
        <f t="shared" si="54"/>
        <v>1930000</v>
      </c>
      <c r="H128" s="9">
        <v>314636.21</v>
      </c>
      <c r="I128" s="9">
        <f>715360-202547.15+112540.28</f>
        <v>625353.13</v>
      </c>
      <c r="J128" s="9">
        <v>0</v>
      </c>
      <c r="K128" s="9">
        <f>900003.79+202547.15-112540.28</f>
        <v>990010.6599999999</v>
      </c>
      <c r="L128" s="9">
        <v>0</v>
      </c>
      <c r="M128" s="9">
        <v>0</v>
      </c>
      <c r="N128" s="9">
        <v>0</v>
      </c>
      <c r="O128" s="14">
        <f>G128-H128-I128</f>
        <v>990010.66</v>
      </c>
    </row>
    <row r="129" spans="1:15" s="35" customFormat="1" ht="21.75" customHeight="1">
      <c r="A129" s="90">
        <v>926</v>
      </c>
      <c r="B129" s="91"/>
      <c r="C129" s="24" t="s">
        <v>56</v>
      </c>
      <c r="D129" s="24"/>
      <c r="E129" s="53"/>
      <c r="F129" s="53"/>
      <c r="G129" s="25">
        <f t="shared" si="54"/>
        <v>5400000</v>
      </c>
      <c r="H129" s="25">
        <v>0</v>
      </c>
      <c r="I129" s="25">
        <f aca="true" t="shared" si="62" ref="I129:O129">I130</f>
        <v>26014.5</v>
      </c>
      <c r="J129" s="25">
        <f t="shared" si="62"/>
        <v>10025</v>
      </c>
      <c r="K129" s="25">
        <f t="shared" si="62"/>
        <v>5363960.5</v>
      </c>
      <c r="L129" s="25">
        <f t="shared" si="62"/>
        <v>0</v>
      </c>
      <c r="M129" s="42">
        <f t="shared" si="62"/>
        <v>0</v>
      </c>
      <c r="N129" s="42">
        <f t="shared" si="62"/>
        <v>0</v>
      </c>
      <c r="O129" s="42">
        <f t="shared" si="62"/>
        <v>5373985.5</v>
      </c>
    </row>
    <row r="130" spans="1:15" s="3" customFormat="1" ht="21" customHeight="1">
      <c r="A130" s="11"/>
      <c r="B130" s="11">
        <v>92601</v>
      </c>
      <c r="C130" s="11" t="s">
        <v>28</v>
      </c>
      <c r="D130" s="11"/>
      <c r="E130" s="56"/>
      <c r="F130" s="56"/>
      <c r="G130" s="14">
        <f t="shared" si="54"/>
        <v>5400000</v>
      </c>
      <c r="H130" s="14">
        <v>0</v>
      </c>
      <c r="I130" s="14">
        <f aca="true" t="shared" si="63" ref="I130:N130">I131+I132</f>
        <v>26014.5</v>
      </c>
      <c r="J130" s="14">
        <f t="shared" si="63"/>
        <v>10025</v>
      </c>
      <c r="K130" s="14">
        <f t="shared" si="63"/>
        <v>5363960.5</v>
      </c>
      <c r="L130" s="14">
        <f t="shared" si="63"/>
        <v>0</v>
      </c>
      <c r="M130" s="14">
        <f t="shared" si="63"/>
        <v>0</v>
      </c>
      <c r="N130" s="14">
        <f t="shared" si="63"/>
        <v>0</v>
      </c>
      <c r="O130" s="40">
        <f>G130-H130-I130</f>
        <v>5373985.5</v>
      </c>
    </row>
    <row r="131" spans="1:15" s="63" customFormat="1" ht="33.75" customHeight="1">
      <c r="A131" s="8">
        <v>34</v>
      </c>
      <c r="B131" s="8"/>
      <c r="C131" s="8" t="s">
        <v>14</v>
      </c>
      <c r="D131" s="15" t="s">
        <v>35</v>
      </c>
      <c r="E131" s="57">
        <v>2012</v>
      </c>
      <c r="F131" s="57">
        <v>2013</v>
      </c>
      <c r="G131" s="14">
        <f t="shared" si="54"/>
        <v>4250000</v>
      </c>
      <c r="H131" s="9">
        <v>0</v>
      </c>
      <c r="I131" s="9">
        <f>200000-150000-50000</f>
        <v>0</v>
      </c>
      <c r="J131" s="9">
        <f>50000-50000</f>
        <v>0</v>
      </c>
      <c r="K131" s="9">
        <f>4150000+50000+50000</f>
        <v>4250000</v>
      </c>
      <c r="L131" s="9">
        <v>0</v>
      </c>
      <c r="M131" s="9">
        <v>0</v>
      </c>
      <c r="N131" s="9">
        <v>0</v>
      </c>
      <c r="O131" s="14">
        <f>G131-H131-I131</f>
        <v>4250000</v>
      </c>
    </row>
    <row r="132" spans="1:15" s="63" customFormat="1" ht="39" customHeight="1">
      <c r="A132" s="8">
        <v>35</v>
      </c>
      <c r="B132" s="82"/>
      <c r="C132" s="83" t="s">
        <v>57</v>
      </c>
      <c r="D132" s="15" t="s">
        <v>35</v>
      </c>
      <c r="E132" s="57">
        <v>2011</v>
      </c>
      <c r="F132" s="57">
        <v>2013</v>
      </c>
      <c r="G132" s="14">
        <f t="shared" si="54"/>
        <v>1150000</v>
      </c>
      <c r="H132" s="9">
        <v>0</v>
      </c>
      <c r="I132" s="9">
        <f>150000-123985.5</f>
        <v>26014.5</v>
      </c>
      <c r="J132" s="9">
        <f>200000-189975</f>
        <v>10025</v>
      </c>
      <c r="K132" s="9">
        <f>800000+123985.5+189975</f>
        <v>1113960.5</v>
      </c>
      <c r="L132" s="9">
        <v>0</v>
      </c>
      <c r="M132" s="9">
        <v>0</v>
      </c>
      <c r="N132" s="9">
        <v>0</v>
      </c>
      <c r="O132" s="14">
        <f>G132-H132-I132</f>
        <v>1123985.5</v>
      </c>
    </row>
    <row r="133" spans="1:15" s="37" customFormat="1" ht="27" customHeight="1">
      <c r="A133" s="95" t="s">
        <v>42</v>
      </c>
      <c r="B133" s="96"/>
      <c r="C133" s="97"/>
      <c r="D133" s="19"/>
      <c r="E133" s="58"/>
      <c r="F133" s="58"/>
      <c r="G133" s="23">
        <f>H133+I133+J133+K133+L133+M133+N133</f>
        <v>2002500</v>
      </c>
      <c r="H133" s="23">
        <v>0</v>
      </c>
      <c r="I133" s="23">
        <f aca="true" t="shared" si="64" ref="I133:O133">I134</f>
        <v>0</v>
      </c>
      <c r="J133" s="23">
        <f t="shared" si="64"/>
        <v>162500</v>
      </c>
      <c r="K133" s="23">
        <f t="shared" si="64"/>
        <v>630000</v>
      </c>
      <c r="L133" s="23">
        <f t="shared" si="64"/>
        <v>580000</v>
      </c>
      <c r="M133" s="38">
        <f t="shared" si="64"/>
        <v>530000</v>
      </c>
      <c r="N133" s="38">
        <f t="shared" si="64"/>
        <v>100000</v>
      </c>
      <c r="O133" s="38">
        <f t="shared" si="64"/>
        <v>2002500</v>
      </c>
    </row>
    <row r="134" spans="1:15" s="18" customFormat="1" ht="17.25" customHeight="1">
      <c r="A134" s="8"/>
      <c r="B134" s="8"/>
      <c r="C134" s="8" t="s">
        <v>2</v>
      </c>
      <c r="D134" s="8"/>
      <c r="E134" s="57"/>
      <c r="F134" s="57"/>
      <c r="G134" s="14">
        <f>H134+I134+J134+K134+L134+M134+N134</f>
        <v>2002500</v>
      </c>
      <c r="H134" s="9">
        <v>0</v>
      </c>
      <c r="I134" s="9">
        <f aca="true" t="shared" si="65" ref="I134:N134">I135+I136</f>
        <v>0</v>
      </c>
      <c r="J134" s="9">
        <f t="shared" si="65"/>
        <v>162500</v>
      </c>
      <c r="K134" s="9">
        <f t="shared" si="65"/>
        <v>630000</v>
      </c>
      <c r="L134" s="9">
        <f t="shared" si="65"/>
        <v>580000</v>
      </c>
      <c r="M134" s="9">
        <f t="shared" si="65"/>
        <v>530000</v>
      </c>
      <c r="N134" s="9">
        <f t="shared" si="65"/>
        <v>100000</v>
      </c>
      <c r="O134" s="40">
        <f>G134-H134-I134</f>
        <v>2002500</v>
      </c>
    </row>
    <row r="135" spans="1:15" s="18" customFormat="1" ht="50.25" customHeight="1">
      <c r="A135" s="75">
        <v>1</v>
      </c>
      <c r="B135" s="75"/>
      <c r="C135" s="76" t="s">
        <v>64</v>
      </c>
      <c r="D135" s="76" t="s">
        <v>35</v>
      </c>
      <c r="E135" s="77">
        <v>2011</v>
      </c>
      <c r="F135" s="77">
        <v>2015</v>
      </c>
      <c r="G135" s="78">
        <f>H135+I135+J135+K135+L135+M135</f>
        <v>962500</v>
      </c>
      <c r="H135" s="79">
        <v>0</v>
      </c>
      <c r="I135" s="79">
        <v>0</v>
      </c>
      <c r="J135" s="79">
        <f>330000-165000-82500</f>
        <v>82500</v>
      </c>
      <c r="K135" s="79">
        <v>320000</v>
      </c>
      <c r="L135" s="79">
        <v>300000</v>
      </c>
      <c r="M135" s="79">
        <v>260000</v>
      </c>
      <c r="N135" s="79">
        <v>0</v>
      </c>
      <c r="O135" s="14">
        <f>G135-H135-I135</f>
        <v>962500</v>
      </c>
    </row>
    <row r="136" spans="1:15" s="80" customFormat="1" ht="50.25" customHeight="1">
      <c r="A136" s="8">
        <v>2</v>
      </c>
      <c r="B136" s="8"/>
      <c r="C136" s="15" t="s">
        <v>66</v>
      </c>
      <c r="D136" s="15" t="s">
        <v>35</v>
      </c>
      <c r="E136" s="57">
        <v>2011</v>
      </c>
      <c r="F136" s="57">
        <v>2016</v>
      </c>
      <c r="G136" s="14">
        <f>H136+I136+J136+K136+L136+M136+N136</f>
        <v>1040000</v>
      </c>
      <c r="H136" s="9">
        <v>0</v>
      </c>
      <c r="I136" s="9">
        <v>0</v>
      </c>
      <c r="J136" s="9">
        <f>320000-160000-80000</f>
        <v>80000</v>
      </c>
      <c r="K136" s="9">
        <v>310000</v>
      </c>
      <c r="L136" s="9">
        <v>280000</v>
      </c>
      <c r="M136" s="9">
        <v>270000</v>
      </c>
      <c r="N136" s="9">
        <v>100000</v>
      </c>
      <c r="O136" s="14">
        <f>G136-H136-I136</f>
        <v>1040000</v>
      </c>
    </row>
    <row r="137" spans="1:15" s="37" customFormat="1" ht="55.5" customHeight="1">
      <c r="A137" s="101" t="s">
        <v>67</v>
      </c>
      <c r="B137" s="102"/>
      <c r="C137" s="103"/>
      <c r="D137" s="43"/>
      <c r="E137" s="62"/>
      <c r="F137" s="62"/>
      <c r="G137" s="44">
        <f aca="true" t="shared" si="66" ref="G137:G157">H137+I137+J137+K137+L137+M137</f>
        <v>29182872.310000002</v>
      </c>
      <c r="H137" s="45">
        <f aca="true" t="shared" si="67" ref="H137:O137">H138</f>
        <v>7564568</v>
      </c>
      <c r="I137" s="45">
        <f t="shared" si="67"/>
        <v>4063042.8600000003</v>
      </c>
      <c r="J137" s="45">
        <f>J138</f>
        <v>7735847.6</v>
      </c>
      <c r="K137" s="45">
        <f t="shared" si="67"/>
        <v>8264413.85</v>
      </c>
      <c r="L137" s="45">
        <f t="shared" si="67"/>
        <v>1020000</v>
      </c>
      <c r="M137" s="46">
        <f t="shared" si="67"/>
        <v>535000</v>
      </c>
      <c r="N137" s="46">
        <f t="shared" si="67"/>
        <v>0</v>
      </c>
      <c r="O137" s="46">
        <f t="shared" si="67"/>
        <v>17555261.45</v>
      </c>
    </row>
    <row r="138" spans="1:15" s="18" customFormat="1" ht="20.25" customHeight="1">
      <c r="A138" s="17"/>
      <c r="B138" s="22"/>
      <c r="C138" s="8" t="s">
        <v>2</v>
      </c>
      <c r="D138" s="15"/>
      <c r="E138" s="57"/>
      <c r="F138" s="57"/>
      <c r="G138" s="9">
        <f>G139+G142+G144++G147+G150+G153</f>
        <v>29182872.31</v>
      </c>
      <c r="H138" s="9">
        <f aca="true" t="shared" si="68" ref="H138:M138">H139+H144+H150+H153</f>
        <v>7564568</v>
      </c>
      <c r="I138" s="9">
        <f>I139+I144+I147+I150+I153</f>
        <v>4063042.8600000003</v>
      </c>
      <c r="J138" s="9">
        <f>J139+J144+J147+J150+J153</f>
        <v>7735847.6</v>
      </c>
      <c r="K138" s="9">
        <f>K139+K142+K144+K150+K153+K147</f>
        <v>8264413.85</v>
      </c>
      <c r="L138" s="9">
        <f t="shared" si="68"/>
        <v>1020000</v>
      </c>
      <c r="M138" s="9">
        <f t="shared" si="68"/>
        <v>535000</v>
      </c>
      <c r="N138" s="41">
        <f>N139+N144+N150+N153</f>
        <v>0</v>
      </c>
      <c r="O138" s="40">
        <f>G138-H138-I138</f>
        <v>17555261.45</v>
      </c>
    </row>
    <row r="139" spans="1:15" s="26" customFormat="1" ht="20.25" customHeight="1">
      <c r="A139" s="99">
        <v>600</v>
      </c>
      <c r="B139" s="100"/>
      <c r="C139" s="24" t="s">
        <v>43</v>
      </c>
      <c r="D139" s="36"/>
      <c r="E139" s="53"/>
      <c r="F139" s="53"/>
      <c r="G139" s="25">
        <f t="shared" si="66"/>
        <v>7548540.85</v>
      </c>
      <c r="H139" s="25">
        <f>H140+H141</f>
        <v>2520002</v>
      </c>
      <c r="I139" s="25">
        <f aca="true" t="shared" si="69" ref="I139:O139">I140+I141</f>
        <v>1378538.85</v>
      </c>
      <c r="J139" s="25">
        <f t="shared" si="69"/>
        <v>1650000</v>
      </c>
      <c r="K139" s="25">
        <f t="shared" si="69"/>
        <v>2000000</v>
      </c>
      <c r="L139" s="25">
        <f t="shared" si="69"/>
        <v>0</v>
      </c>
      <c r="M139" s="25">
        <f t="shared" si="69"/>
        <v>0</v>
      </c>
      <c r="N139" s="25">
        <f t="shared" si="69"/>
        <v>0</v>
      </c>
      <c r="O139" s="25">
        <f t="shared" si="69"/>
        <v>3649999.9999999995</v>
      </c>
    </row>
    <row r="140" spans="1:15" s="63" customFormat="1" ht="27.75" customHeight="1">
      <c r="A140" s="17"/>
      <c r="B140" s="65">
        <v>60016</v>
      </c>
      <c r="C140" s="8" t="s">
        <v>44</v>
      </c>
      <c r="D140" s="15" t="s">
        <v>35</v>
      </c>
      <c r="E140" s="57"/>
      <c r="F140" s="57"/>
      <c r="G140" s="14">
        <f t="shared" si="66"/>
        <v>2651828.83</v>
      </c>
      <c r="H140" s="9">
        <v>974004</v>
      </c>
      <c r="I140" s="9">
        <f>605000+2000000-1600000-777175.17</f>
        <v>227824.82999999996</v>
      </c>
      <c r="J140" s="9">
        <v>450000</v>
      </c>
      <c r="K140" s="9">
        <v>1000000</v>
      </c>
      <c r="L140" s="9">
        <v>0</v>
      </c>
      <c r="M140" s="9">
        <v>0</v>
      </c>
      <c r="N140" s="9">
        <v>0</v>
      </c>
      <c r="O140" s="14">
        <f>G140-H140-I140</f>
        <v>1450000</v>
      </c>
    </row>
    <row r="141" spans="1:15" s="18" customFormat="1" ht="30.75" customHeight="1">
      <c r="A141" s="17"/>
      <c r="B141" s="65">
        <v>60015</v>
      </c>
      <c r="C141" s="8" t="s">
        <v>45</v>
      </c>
      <c r="D141" s="15" t="s">
        <v>35</v>
      </c>
      <c r="E141" s="57"/>
      <c r="F141" s="57"/>
      <c r="G141" s="14">
        <f t="shared" si="66"/>
        <v>4896712.02</v>
      </c>
      <c r="H141" s="9">
        <v>1545998</v>
      </c>
      <c r="I141" s="9">
        <f>589000+2000000-1438285.98</f>
        <v>1150714.02</v>
      </c>
      <c r="J141" s="9">
        <v>1200000</v>
      </c>
      <c r="K141" s="9">
        <v>1000000</v>
      </c>
      <c r="L141" s="9">
        <v>0</v>
      </c>
      <c r="M141" s="9">
        <v>0</v>
      </c>
      <c r="N141" s="9">
        <v>0</v>
      </c>
      <c r="O141" s="14">
        <f>G141-H141-I141</f>
        <v>2199999.9999999995</v>
      </c>
    </row>
    <row r="142" spans="1:15" s="26" customFormat="1" ht="24.75" customHeight="1">
      <c r="A142" s="98">
        <v>700</v>
      </c>
      <c r="B142" s="98"/>
      <c r="C142" s="24" t="s">
        <v>31</v>
      </c>
      <c r="D142" s="24"/>
      <c r="E142" s="53"/>
      <c r="F142" s="53"/>
      <c r="G142" s="25">
        <f t="shared" si="66"/>
        <v>4413.85</v>
      </c>
      <c r="H142" s="25">
        <v>0</v>
      </c>
      <c r="I142" s="25">
        <v>0</v>
      </c>
      <c r="J142" s="25">
        <v>0</v>
      </c>
      <c r="K142" s="25">
        <f aca="true" t="shared" si="70" ref="K142:O143">K143</f>
        <v>4413.85</v>
      </c>
      <c r="L142" s="42">
        <f t="shared" si="70"/>
        <v>0</v>
      </c>
      <c r="M142" s="42">
        <f t="shared" si="70"/>
        <v>0</v>
      </c>
      <c r="N142" s="42">
        <f t="shared" si="70"/>
        <v>0</v>
      </c>
      <c r="O142" s="42">
        <f t="shared" si="70"/>
        <v>4413.85</v>
      </c>
    </row>
    <row r="143" spans="1:15" s="2" customFormat="1" ht="24.75" customHeight="1">
      <c r="A143" s="7"/>
      <c r="B143" s="8">
        <v>70005</v>
      </c>
      <c r="C143" s="8" t="s">
        <v>32</v>
      </c>
      <c r="D143" s="15" t="s">
        <v>35</v>
      </c>
      <c r="E143" s="57">
        <v>2012</v>
      </c>
      <c r="F143" s="57">
        <v>2014</v>
      </c>
      <c r="G143" s="14">
        <f t="shared" si="66"/>
        <v>4413.85</v>
      </c>
      <c r="H143" s="14">
        <v>0</v>
      </c>
      <c r="I143" s="14">
        <v>0</v>
      </c>
      <c r="J143" s="14">
        <v>0</v>
      </c>
      <c r="K143" s="14">
        <v>4413.85</v>
      </c>
      <c r="L143" s="14">
        <v>0</v>
      </c>
      <c r="M143" s="14">
        <v>0</v>
      </c>
      <c r="N143" s="14">
        <f t="shared" si="70"/>
        <v>0</v>
      </c>
      <c r="O143" s="14">
        <v>4413.85</v>
      </c>
    </row>
    <row r="144" spans="1:15" s="26" customFormat="1" ht="31.5" customHeight="1">
      <c r="A144" s="98">
        <v>750</v>
      </c>
      <c r="B144" s="98"/>
      <c r="C144" s="24" t="s">
        <v>47</v>
      </c>
      <c r="D144" s="36"/>
      <c r="E144" s="53"/>
      <c r="F144" s="53"/>
      <c r="G144" s="25">
        <f>H144+I144+J144+K144+L144+M144</f>
        <v>2951534.3</v>
      </c>
      <c r="H144" s="25">
        <f>H145</f>
        <v>739568</v>
      </c>
      <c r="I144" s="25">
        <f>I145</f>
        <v>138006</v>
      </c>
      <c r="J144" s="25">
        <f>J145+J146</f>
        <v>518960.3</v>
      </c>
      <c r="K144" s="25">
        <f>K145</f>
        <v>500000</v>
      </c>
      <c r="L144" s="25">
        <f>L145</f>
        <v>520000</v>
      </c>
      <c r="M144" s="25">
        <f>M145</f>
        <v>535000</v>
      </c>
      <c r="N144" s="25">
        <f>N145</f>
        <v>0</v>
      </c>
      <c r="O144" s="25">
        <f>O145+O146</f>
        <v>2073960.3</v>
      </c>
    </row>
    <row r="145" spans="1:15" s="18" customFormat="1" ht="31.5" customHeight="1">
      <c r="A145" s="8"/>
      <c r="B145" s="8">
        <v>75023</v>
      </c>
      <c r="C145" s="8" t="s">
        <v>48</v>
      </c>
      <c r="D145" s="15" t="s">
        <v>35</v>
      </c>
      <c r="E145" s="57"/>
      <c r="F145" s="57"/>
      <c r="G145" s="14">
        <f t="shared" si="66"/>
        <v>2917574</v>
      </c>
      <c r="H145" s="9">
        <v>739568</v>
      </c>
      <c r="I145" s="9">
        <f>470000-331994</f>
        <v>138006</v>
      </c>
      <c r="J145" s="9">
        <v>485000</v>
      </c>
      <c r="K145" s="9">
        <v>500000</v>
      </c>
      <c r="L145" s="9">
        <v>520000</v>
      </c>
      <c r="M145" s="9">
        <v>535000</v>
      </c>
      <c r="N145" s="9">
        <v>0</v>
      </c>
      <c r="O145" s="14">
        <f>G145-H145-I145</f>
        <v>2040000</v>
      </c>
    </row>
    <row r="146" spans="1:15" s="63" customFormat="1" ht="31.5" customHeight="1">
      <c r="A146" s="8"/>
      <c r="B146" s="8">
        <v>75095</v>
      </c>
      <c r="C146" s="8" t="s">
        <v>98</v>
      </c>
      <c r="D146" s="15" t="s">
        <v>35</v>
      </c>
      <c r="E146" s="8">
        <v>2011</v>
      </c>
      <c r="F146" s="8">
        <v>2012</v>
      </c>
      <c r="G146" s="14">
        <v>33960.3</v>
      </c>
      <c r="H146" s="9"/>
      <c r="I146" s="9"/>
      <c r="J146" s="9">
        <v>33960.3</v>
      </c>
      <c r="K146" s="9"/>
      <c r="L146" s="9"/>
      <c r="M146" s="9"/>
      <c r="N146" s="9"/>
      <c r="O146" s="14">
        <f>J146</f>
        <v>33960.3</v>
      </c>
    </row>
    <row r="147" spans="1:15" s="26" customFormat="1" ht="31.5" customHeight="1">
      <c r="A147" s="98">
        <v>801</v>
      </c>
      <c r="B147" s="98"/>
      <c r="C147" s="24" t="s">
        <v>17</v>
      </c>
      <c r="D147" s="36"/>
      <c r="E147" s="53"/>
      <c r="F147" s="53"/>
      <c r="G147" s="25">
        <f>H147+I147+J147+K147+L147+M147</f>
        <v>258000</v>
      </c>
      <c r="H147" s="25">
        <f>H149</f>
        <v>0</v>
      </c>
      <c r="I147" s="25">
        <f>I149+I148</f>
        <v>106667.7</v>
      </c>
      <c r="J147" s="25">
        <f aca="true" t="shared" si="71" ref="J147:O147">J149+J148</f>
        <v>81332.3</v>
      </c>
      <c r="K147" s="25">
        <f t="shared" si="71"/>
        <v>70000</v>
      </c>
      <c r="L147" s="25">
        <f t="shared" si="71"/>
        <v>0</v>
      </c>
      <c r="M147" s="25">
        <f t="shared" si="71"/>
        <v>0</v>
      </c>
      <c r="N147" s="25">
        <f t="shared" si="71"/>
        <v>0</v>
      </c>
      <c r="O147" s="25">
        <f t="shared" si="71"/>
        <v>151332.3</v>
      </c>
    </row>
    <row r="148" spans="1:15" s="2" customFormat="1" ht="31.5" customHeight="1">
      <c r="A148" s="56"/>
      <c r="B148" s="72">
        <v>80113</v>
      </c>
      <c r="C148" s="8" t="s">
        <v>104</v>
      </c>
      <c r="D148" s="15" t="s">
        <v>35</v>
      </c>
      <c r="E148" s="56">
        <v>2012</v>
      </c>
      <c r="F148" s="56">
        <v>2013</v>
      </c>
      <c r="G148" s="14">
        <f>H148+I148+J148+K148+L148+M148</f>
        <v>140000</v>
      </c>
      <c r="H148" s="9">
        <v>0</v>
      </c>
      <c r="I148" s="9">
        <v>0</v>
      </c>
      <c r="J148" s="9">
        <v>70000</v>
      </c>
      <c r="K148" s="9">
        <v>70000</v>
      </c>
      <c r="L148" s="9">
        <v>0</v>
      </c>
      <c r="M148" s="9">
        <v>0</v>
      </c>
      <c r="N148" s="9">
        <v>0</v>
      </c>
      <c r="O148" s="14">
        <f>G148-H148-I148</f>
        <v>140000</v>
      </c>
    </row>
    <row r="149" spans="1:15" s="18" customFormat="1" ht="31.5" customHeight="1">
      <c r="A149" s="8"/>
      <c r="B149" s="8">
        <v>80120</v>
      </c>
      <c r="C149" s="8" t="s">
        <v>97</v>
      </c>
      <c r="D149" s="15" t="s">
        <v>35</v>
      </c>
      <c r="E149" s="57">
        <v>2011</v>
      </c>
      <c r="F149" s="57">
        <v>2012</v>
      </c>
      <c r="G149" s="14">
        <f>H149+I149+J149+K149+L149+M149</f>
        <v>118000</v>
      </c>
      <c r="H149" s="9">
        <v>0</v>
      </c>
      <c r="I149" s="9">
        <v>106667.7</v>
      </c>
      <c r="J149" s="9">
        <v>11332.3</v>
      </c>
      <c r="K149" s="9">
        <v>0</v>
      </c>
      <c r="L149" s="9">
        <v>0</v>
      </c>
      <c r="M149" s="9">
        <v>0</v>
      </c>
      <c r="N149" s="9">
        <v>0</v>
      </c>
      <c r="O149" s="14">
        <f>G149-H149-I149</f>
        <v>11332.300000000003</v>
      </c>
    </row>
    <row r="150" spans="1:15" s="26" customFormat="1" ht="30.75" customHeight="1">
      <c r="A150" s="90">
        <v>852</v>
      </c>
      <c r="B150" s="91"/>
      <c r="C150" s="24" t="s">
        <v>46</v>
      </c>
      <c r="D150" s="36"/>
      <c r="E150" s="53"/>
      <c r="F150" s="53"/>
      <c r="G150" s="25">
        <f t="shared" si="66"/>
        <v>1399866.54</v>
      </c>
      <c r="H150" s="25">
        <f aca="true" t="shared" si="72" ref="H150:M150">H151+H152</f>
        <v>430000</v>
      </c>
      <c r="I150" s="25">
        <f t="shared" si="72"/>
        <v>269505.54000000004</v>
      </c>
      <c r="J150" s="25">
        <f t="shared" si="72"/>
        <v>210361</v>
      </c>
      <c r="K150" s="25">
        <f t="shared" si="72"/>
        <v>490000</v>
      </c>
      <c r="L150" s="25">
        <f t="shared" si="72"/>
        <v>0</v>
      </c>
      <c r="M150" s="25">
        <f t="shared" si="72"/>
        <v>0</v>
      </c>
      <c r="N150" s="42">
        <f>N151+N152</f>
        <v>0</v>
      </c>
      <c r="O150" s="42">
        <f>O151+O152</f>
        <v>700361</v>
      </c>
    </row>
    <row r="151" spans="1:15" s="18" customFormat="1" ht="31.5" customHeight="1">
      <c r="A151" s="8"/>
      <c r="B151" s="8">
        <v>85201</v>
      </c>
      <c r="C151" s="8" t="s">
        <v>49</v>
      </c>
      <c r="D151" s="15" t="s">
        <v>35</v>
      </c>
      <c r="E151" s="57"/>
      <c r="F151" s="57"/>
      <c r="G151" s="14">
        <f t="shared" si="66"/>
        <v>706361</v>
      </c>
      <c r="H151" s="9">
        <v>250000</v>
      </c>
      <c r="I151" s="9">
        <v>138000</v>
      </c>
      <c r="J151" s="9">
        <f>286000-10000-247639</f>
        <v>28361</v>
      </c>
      <c r="K151" s="9">
        <v>290000</v>
      </c>
      <c r="L151" s="9">
        <v>0</v>
      </c>
      <c r="M151" s="9">
        <v>0</v>
      </c>
      <c r="N151" s="9">
        <v>0</v>
      </c>
      <c r="O151" s="14">
        <f>G151-H151-I151</f>
        <v>318361</v>
      </c>
    </row>
    <row r="152" spans="1:15" s="18" customFormat="1" ht="31.5" customHeight="1">
      <c r="A152" s="8"/>
      <c r="B152" s="8">
        <v>85204</v>
      </c>
      <c r="C152" s="8" t="s">
        <v>50</v>
      </c>
      <c r="D152" s="15" t="s">
        <v>35</v>
      </c>
      <c r="E152" s="57"/>
      <c r="F152" s="57"/>
      <c r="G152" s="14">
        <f t="shared" si="66"/>
        <v>693505.54</v>
      </c>
      <c r="H152" s="9">
        <v>180000</v>
      </c>
      <c r="I152" s="9">
        <f>160000-28494.46</f>
        <v>131505.54</v>
      </c>
      <c r="J152" s="9">
        <f>200000+10000-40000+12000</f>
        <v>182000</v>
      </c>
      <c r="K152" s="9">
        <v>200000</v>
      </c>
      <c r="L152" s="9">
        <v>0</v>
      </c>
      <c r="M152" s="9">
        <v>0</v>
      </c>
      <c r="N152" s="9">
        <v>0</v>
      </c>
      <c r="O152" s="14">
        <f>G152-H152-I152</f>
        <v>382000</v>
      </c>
    </row>
    <row r="153" spans="1:15" s="26" customFormat="1" ht="31.5" customHeight="1">
      <c r="A153" s="90">
        <v>900</v>
      </c>
      <c r="B153" s="91"/>
      <c r="C153" s="24" t="s">
        <v>51</v>
      </c>
      <c r="D153" s="36"/>
      <c r="E153" s="53"/>
      <c r="F153" s="53"/>
      <c r="G153" s="25">
        <f t="shared" si="66"/>
        <v>17020516.77</v>
      </c>
      <c r="H153" s="25">
        <f>H154+H155+H156+H157</f>
        <v>3874998</v>
      </c>
      <c r="I153" s="25">
        <f aca="true" t="shared" si="73" ref="I153:O153">I154+I155+I156+I157</f>
        <v>2170324.77</v>
      </c>
      <c r="J153" s="25">
        <f t="shared" si="73"/>
        <v>5275194</v>
      </c>
      <c r="K153" s="25">
        <f t="shared" si="73"/>
        <v>5200000</v>
      </c>
      <c r="L153" s="25">
        <f t="shared" si="73"/>
        <v>500000</v>
      </c>
      <c r="M153" s="25">
        <f t="shared" si="73"/>
        <v>0</v>
      </c>
      <c r="N153" s="25">
        <f t="shared" si="73"/>
        <v>0</v>
      </c>
      <c r="O153" s="25">
        <f t="shared" si="73"/>
        <v>10975194</v>
      </c>
    </row>
    <row r="154" spans="1:15" s="18" customFormat="1" ht="31.5" customHeight="1">
      <c r="A154" s="8"/>
      <c r="B154" s="8">
        <v>90003</v>
      </c>
      <c r="C154" s="8" t="s">
        <v>52</v>
      </c>
      <c r="D154" s="15" t="s">
        <v>35</v>
      </c>
      <c r="E154" s="57"/>
      <c r="F154" s="57"/>
      <c r="G154" s="14">
        <f t="shared" si="66"/>
        <v>7814943</v>
      </c>
      <c r="H154" s="9">
        <v>1999943</v>
      </c>
      <c r="I154" s="9">
        <v>1800000</v>
      </c>
      <c r="J154" s="9">
        <f>2020000-5000</f>
        <v>2015000</v>
      </c>
      <c r="K154" s="9">
        <v>2000000</v>
      </c>
      <c r="L154" s="9">
        <v>0</v>
      </c>
      <c r="M154" s="9">
        <v>0</v>
      </c>
      <c r="N154" s="9">
        <v>0</v>
      </c>
      <c r="O154" s="14">
        <f>G154-H154-I154</f>
        <v>4015000</v>
      </c>
    </row>
    <row r="155" spans="1:15" s="18" customFormat="1" ht="31.5" customHeight="1">
      <c r="A155" s="8"/>
      <c r="B155" s="8">
        <v>90004</v>
      </c>
      <c r="C155" s="8" t="s">
        <v>53</v>
      </c>
      <c r="D155" s="15" t="s">
        <v>35</v>
      </c>
      <c r="E155" s="57"/>
      <c r="F155" s="57"/>
      <c r="G155" s="14">
        <f t="shared" si="66"/>
        <v>3262350</v>
      </c>
      <c r="H155" s="9">
        <v>1252156</v>
      </c>
      <c r="I155" s="9">
        <v>0</v>
      </c>
      <c r="J155" s="9">
        <f>1075824-65630</f>
        <v>1010194</v>
      </c>
      <c r="K155" s="9">
        <v>1000000</v>
      </c>
      <c r="L155" s="9"/>
      <c r="M155" s="9">
        <v>0</v>
      </c>
      <c r="N155" s="9">
        <v>0</v>
      </c>
      <c r="O155" s="14">
        <f>G155-H155-I155</f>
        <v>2010194</v>
      </c>
    </row>
    <row r="156" spans="1:15" s="18" customFormat="1" ht="31.5" customHeight="1">
      <c r="A156" s="8"/>
      <c r="B156" s="8">
        <v>90013</v>
      </c>
      <c r="C156" s="8" t="s">
        <v>54</v>
      </c>
      <c r="D156" s="15" t="s">
        <v>35</v>
      </c>
      <c r="E156" s="57"/>
      <c r="F156" s="57"/>
      <c r="G156" s="14">
        <f t="shared" si="66"/>
        <v>822899</v>
      </c>
      <c r="H156" s="9">
        <v>222899</v>
      </c>
      <c r="I156" s="9">
        <v>0</v>
      </c>
      <c r="J156" s="9">
        <v>300000</v>
      </c>
      <c r="K156" s="9">
        <v>300000</v>
      </c>
      <c r="L156" s="9">
        <v>0</v>
      </c>
      <c r="M156" s="9">
        <v>0</v>
      </c>
      <c r="N156" s="9">
        <v>0</v>
      </c>
      <c r="O156" s="14">
        <f>G156-H156-I156</f>
        <v>600000</v>
      </c>
    </row>
    <row r="157" spans="1:15" s="18" customFormat="1" ht="31.5" customHeight="1">
      <c r="A157" s="8"/>
      <c r="B157" s="8">
        <v>90015</v>
      </c>
      <c r="C157" s="8" t="s">
        <v>55</v>
      </c>
      <c r="D157" s="15" t="s">
        <v>35</v>
      </c>
      <c r="E157" s="57"/>
      <c r="F157" s="57"/>
      <c r="G157" s="14">
        <f t="shared" si="66"/>
        <v>5120324.77</v>
      </c>
      <c r="H157" s="9">
        <v>400000</v>
      </c>
      <c r="I157" s="9">
        <f>450000-79675.23</f>
        <v>370324.77</v>
      </c>
      <c r="J157" s="9">
        <v>1950000</v>
      </c>
      <c r="K157" s="9">
        <v>1900000</v>
      </c>
      <c r="L157" s="9">
        <v>500000</v>
      </c>
      <c r="M157" s="9">
        <v>0</v>
      </c>
      <c r="N157" s="9">
        <v>0</v>
      </c>
      <c r="O157" s="14">
        <f>G157-H157-I157</f>
        <v>4350000</v>
      </c>
    </row>
  </sheetData>
  <sheetProtection/>
  <mergeCells count="41">
    <mergeCell ref="E4:F4"/>
    <mergeCell ref="C4:C5"/>
    <mergeCell ref="B4:B5"/>
    <mergeCell ref="A116:B116"/>
    <mergeCell ref="M2:N2"/>
    <mergeCell ref="D4:D5"/>
    <mergeCell ref="A81:C81"/>
    <mergeCell ref="A12:C12"/>
    <mergeCell ref="A124:B124"/>
    <mergeCell ref="A13:C13"/>
    <mergeCell ref="A72:B72"/>
    <mergeCell ref="A6:C6"/>
    <mergeCell ref="A107:B107"/>
    <mergeCell ref="A11:C11"/>
    <mergeCell ref="A142:B142"/>
    <mergeCell ref="A2:B2"/>
    <mergeCell ref="A9:C9"/>
    <mergeCell ref="A10:C10"/>
    <mergeCell ref="A3:O3"/>
    <mergeCell ref="G4:G5"/>
    <mergeCell ref="A29:B29"/>
    <mergeCell ref="A4:A5"/>
    <mergeCell ref="A119:B119"/>
    <mergeCell ref="J4:N4"/>
    <mergeCell ref="A153:B153"/>
    <mergeCell ref="A139:B139"/>
    <mergeCell ref="A137:C137"/>
    <mergeCell ref="A129:B129"/>
    <mergeCell ref="A133:C133"/>
    <mergeCell ref="A15:B15"/>
    <mergeCell ref="A144:B144"/>
    <mergeCell ref="A60:B60"/>
    <mergeCell ref="A147:B147"/>
    <mergeCell ref="A150:B150"/>
    <mergeCell ref="A1:C1"/>
    <mergeCell ref="A111:B111"/>
    <mergeCell ref="A14:C14"/>
    <mergeCell ref="A82:B82"/>
    <mergeCell ref="A79:C79"/>
    <mergeCell ref="A80:C80"/>
    <mergeCell ref="A22:B22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7" r:id="rId1"/>
  <rowBreaks count="5" manualBreakCount="5">
    <brk id="28" max="255" man="1"/>
    <brk id="55" max="14" man="1"/>
    <brk id="85" max="14" man="1"/>
    <brk id="110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2012-12-14T11:58:50Z</cp:lastPrinted>
  <dcterms:created xsi:type="dcterms:W3CDTF">2010-09-20T10:00:17Z</dcterms:created>
  <dcterms:modified xsi:type="dcterms:W3CDTF">2012-12-14T12:05:53Z</dcterms:modified>
  <cp:category/>
  <cp:version/>
  <cp:contentType/>
  <cp:contentStatus/>
  <cp:revision>1</cp:revision>
</cp:coreProperties>
</file>