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'Zal_1_WPF_wg_RIO_Lodz'!$A$1:$R$75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<sst xmlns="http://schemas.openxmlformats.org/spreadsheetml/2006/main" count="157" uniqueCount="93">
  <si>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</si>
  <si>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</si>
  <si>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</si>
  <si>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</si>
  <si>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</si>
  <si>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</si>
  <si>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</si>
  <si>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</si>
  <si>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</si>
  <si>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</si>
  <si>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</si>
  <si>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</si>
  <si>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</si>
  <si>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</si>
  <si>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</si>
  <si>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</si>
  <si>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</si>
  <si>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</si>
  <si>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</si>
  <si>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</si>
  <si>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</si>
  <si>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</si>
  <si>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</si>
  <si>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</si>
  <si>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</si>
  <si>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</si>
  <si>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</si>
  <si>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</si>
  <si>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</si>
  <si>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</si>
  <si>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12.</t>
  </si>
  <si>
    <t>13.</t>
  </si>
  <si>
    <t>18.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</si>
  <si>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</si>
  <si>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</si>
  <si>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</si>
  <si>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</si>
  <si>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</si>
  <si>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</si>
  <si>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</si>
  <si>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</si>
  <si>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f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</si>
  <si>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</si>
  <si>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</si>
  <si>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</si>
  <si>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</si>
  <si>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</si>
  <si>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</si>
  <si>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</si>
  <si>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na wynagrodzenia i składki od nich naliczane, w tym:</t>
  </si>
  <si>
    <t>Załącznik Nr 1</t>
  </si>
  <si>
    <t>(1)</t>
  </si>
  <si>
    <t>(2)</t>
  </si>
  <si>
    <t>Wykonanie 31.12.2010</t>
  </si>
  <si>
    <t>w tym: środki z UE*</t>
  </si>
  <si>
    <t>a1</t>
  </si>
  <si>
    <t>na projekty realizowane przy udziale środków, o których mowa w art. 5 ust. 1 pkt 2 i 3</t>
  </si>
  <si>
    <t>w tym: kwota wyłączeń z art. 243 ust. 3 pkt 1 ufp oraz art. 169 ust. 3 sufp przypadajaca na dany rok budżetowy</t>
  </si>
  <si>
    <t>w tym: odsetki i dyskonto</t>
  </si>
  <si>
    <t>Kredyty, pożyczki, sprzedaż papierów wartościowych</t>
  </si>
  <si>
    <t>w tym na pokrycie deficytu budżetu</t>
  </si>
  <si>
    <t>Łączna kwota wyłączeń z art. 170 ust. 3 sufp</t>
  </si>
  <si>
    <t>Kwota nadwyżki budżetowej planowanej w poszczególnych latach objętych prognozą**</t>
  </si>
  <si>
    <t xml:space="preserve">Relacja (Db-Wb+Dsm)/Do, o której mowa w art. 243 w danym roku </t>
  </si>
  <si>
    <t>20a</t>
  </si>
  <si>
    <t>Relacja planowanej łącznej kwoty spłaty zobowiązań do dochodów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</si>
  <si>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</si>
  <si>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</si>
  <si>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</si>
  <si>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Wartość przejętych zobowiązań </t>
  </si>
  <si>
    <t>w tym: od samorządowych samodzielnych publicznych zakładów opieki zdrowotnej</t>
  </si>
  <si>
    <t>Nadwyżka budżetowa z lat ubiegłych plus wolne środki, zgodnie z art. 217 ust. 1 pkt 6 ufp angażowane w budżecie roku bieżącego, w tym:</t>
  </si>
  <si>
    <t>na pokrycie deficytu budżetu</t>
  </si>
  <si>
    <t xml:space="preserve">Inne przychody nie związane z zaciągnięciem długu </t>
  </si>
  <si>
    <t>Kwota długu</t>
  </si>
  <si>
    <t>w tym: dług spłacany wydatkami (zobowiązania wymagalne, umowy zaliczane do kategorii kredytów i pożyczek, itp.)</t>
  </si>
  <si>
    <t>Kwota zobowiązań związku współtworzonego przez jst przypadających do spłaty w danym roku budżetowym podlegające doliczeniu zgodnie z art. 244 ufp</t>
  </si>
  <si>
    <r>
      <t xml:space="preserve">Zadłużenie/dochody ogółem - max 60% z art. 170 sufp (bez wyłączeń) 
</t>
    </r>
    <r>
      <rPr>
        <b/>
        <sz val="9"/>
        <color indexed="60"/>
        <rFont val="Times New Roman"/>
        <family val="1"/>
      </rPr>
      <t>[ (13 - 13a )/ 1 ]</t>
    </r>
  </si>
  <si>
    <r>
      <t xml:space="preserve">Zadłużenie/dochody ogółem - max 60% z art. 170 sufp (po uwzględnieniu wyłączeniu) 
</t>
    </r>
    <r>
      <rPr>
        <b/>
        <sz val="9"/>
        <color indexed="60"/>
        <rFont val="Times New Roman"/>
        <family val="1"/>
      </rPr>
      <t>[ (13 - 13a - 14)/ 1 ]</t>
    </r>
  </si>
  <si>
    <r>
      <t xml:space="preserve">Planowana łączna kwota spłaty zobowiązań/dochody ogółem - max. 15% z art. 169 sufp (bez wyłączeń)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</si>
  <si>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Planowana łączna kwota spłaty zobowiązań/dochody ogółem - max. 15% z art. 169 sufp (po uwzględnieniu wyłączeń) [7 + 2c]/[1] 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</si>
  <si>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[([1a]-[24]+[1c])/[1]])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</si>
  <si>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[1a-24]</t>
    </r>
  </si>
  <si>
    <t>wynagrodzenie organu wykowaczego jst</t>
  </si>
  <si>
    <t>związane z funkcjonowaniem organów jst</t>
  </si>
  <si>
    <t>Załącznik nr 1</t>
  </si>
  <si>
    <t>Plan na 30.09.2011</t>
  </si>
  <si>
    <t>2020</t>
  </si>
  <si>
    <t>2021</t>
  </si>
  <si>
    <t>2022</t>
  </si>
  <si>
    <t>Wieloletnia Prognoza Finansowa Miasta Skierniewice wraz z prognozą długu na lata 2012-2022</t>
  </si>
  <si>
    <t>na projekty realizowane przy udziale środków, o których mowa w art. 5 ust. 1 pkt 2</t>
  </si>
  <si>
    <t>Wykonanie 31.12.2011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</si>
</sst>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00_ ;[Red]\-#,##0.000\ "/>
    <numFmt numFmtId="178" formatCode="0.0"/>
    <numFmt numFmtId="179" formatCode="[$-415]d\ mmmm\ yyyy"/>
    <numFmt numFmtId="180" formatCode="0.000%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_(\$* #,##0_);_(\$* \(#,##0\);_(\$* &quot;-&quot;_);_(@_)"/>
    <numFmt numFmtId="186" formatCode="_(* #,##0_);_(* \(#,##0\);_(* &quot;-&quot;_);_(@_)"/>
    <numFmt numFmtId="187" formatCode="_(\$* #,##0.00_);_(\$* \(#,##0.00\);_(\$* &quot;-&quot;??_);_(@_)"/>
    <numFmt numFmtId="188" formatCode="_(* #,##0.00_);_(* \(#,##0.00\);_(* &quot;-&quot;??_);_(@_)"/>
    <numFmt numFmtId="189" formatCode="0.0000%"/>
    <numFmt numFmtId="190" formatCode="#,##0.00;[Red]#,##0.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3" fillId="0" borderId="11" xfId="56" applyNumberFormat="1" applyFont="1" applyBorder="1" applyAlignment="1">
      <alignment vertical="center"/>
      <protection/>
    </xf>
    <xf numFmtId="165" fontId="2" fillId="0" borderId="11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8" fillId="34" borderId="11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10" fillId="0" borderId="15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166" fontId="2" fillId="0" borderId="11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1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14" xfId="56" applyNumberFormat="1" applyFont="1" applyFill="1" applyBorder="1" applyAlignment="1">
      <alignment vertical="center"/>
      <protection/>
    </xf>
    <xf numFmtId="166" fontId="3" fillId="33" borderId="16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vertical="center"/>
      <protection/>
    </xf>
    <xf numFmtId="166" fontId="2" fillId="0" borderId="17" xfId="56" applyNumberFormat="1" applyFont="1" applyBorder="1" applyAlignment="1">
      <alignment vertical="center"/>
      <protection/>
    </xf>
    <xf numFmtId="166" fontId="3" fillId="34" borderId="11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2" xfId="56" applyNumberFormat="1" applyFont="1" applyBorder="1" applyAlignment="1">
      <alignment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3" fillId="0" borderId="18" xfId="56" applyNumberFormat="1" applyFont="1" applyBorder="1" applyAlignment="1">
      <alignment vertical="center"/>
      <protection/>
    </xf>
    <xf numFmtId="166" fontId="2" fillId="35" borderId="11" xfId="56" applyNumberFormat="1" applyFont="1" applyFill="1" applyBorder="1" applyAlignment="1">
      <alignment vertical="center"/>
      <protection/>
    </xf>
    <xf numFmtId="166" fontId="2" fillId="35" borderId="10" xfId="56" applyNumberFormat="1" applyFont="1" applyFill="1" applyBorder="1" applyAlignment="1">
      <alignment vertical="center"/>
      <protection/>
    </xf>
    <xf numFmtId="166" fontId="3" fillId="35" borderId="11" xfId="56" applyNumberFormat="1" applyFont="1" applyFill="1" applyBorder="1" applyAlignment="1">
      <alignment vertical="center"/>
      <protection/>
    </xf>
    <xf numFmtId="166" fontId="3" fillId="35" borderId="10" xfId="56" applyNumberFormat="1" applyFont="1" applyFill="1" applyBorder="1" applyAlignment="1">
      <alignment vertical="center"/>
      <protection/>
    </xf>
    <xf numFmtId="165" fontId="2" fillId="35" borderId="11" xfId="5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66" fontId="3" fillId="34" borderId="19" xfId="56" applyNumberFormat="1" applyFont="1" applyFill="1" applyBorder="1" applyAlignment="1">
      <alignment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166" fontId="3" fillId="35" borderId="14" xfId="56" applyNumberFormat="1" applyFont="1" applyFill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0" fontId="3" fillId="0" borderId="22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166" fontId="3" fillId="0" borderId="12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166" fontId="2" fillId="35" borderId="11" xfId="56" applyNumberFormat="1" applyFont="1" applyFill="1" applyBorder="1" applyAlignment="1">
      <alignment horizontal="right" vertical="center"/>
      <protection/>
    </xf>
    <xf numFmtId="166" fontId="3" fillId="35" borderId="12" xfId="56" applyNumberFormat="1" applyFont="1" applyFill="1" applyBorder="1" applyAlignment="1">
      <alignment vertical="center"/>
      <protection/>
    </xf>
    <xf numFmtId="166" fontId="3" fillId="35" borderId="13" xfId="56" applyNumberFormat="1" applyFont="1" applyFill="1" applyBorder="1" applyAlignment="1">
      <alignment vertical="center"/>
      <protection/>
    </xf>
    <xf numFmtId="10" fontId="2" fillId="35" borderId="22" xfId="56" applyNumberFormat="1" applyFont="1" applyFill="1" applyBorder="1" applyAlignment="1">
      <alignment vertical="center"/>
      <protection/>
    </xf>
    <xf numFmtId="10" fontId="2" fillId="35" borderId="10" xfId="56" applyNumberFormat="1" applyFont="1" applyFill="1" applyBorder="1" applyAlignment="1">
      <alignment vertical="center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10" fontId="3" fillId="35" borderId="22" xfId="56" applyNumberFormat="1" applyFont="1" applyFill="1" applyBorder="1" applyAlignment="1">
      <alignment horizontal="right" vertical="center"/>
      <protection/>
    </xf>
    <xf numFmtId="10" fontId="3" fillId="35" borderId="22" xfId="56" applyNumberFormat="1" applyFont="1" applyFill="1" applyBorder="1" applyAlignment="1">
      <alignment horizontal="center" vertical="center"/>
      <protection/>
    </xf>
    <xf numFmtId="10" fontId="3" fillId="0" borderId="22" xfId="56" applyNumberFormat="1" applyFont="1" applyBorder="1" applyAlignment="1">
      <alignment horizontal="right" vertical="center"/>
      <protection/>
    </xf>
    <xf numFmtId="10" fontId="3" fillId="0" borderId="10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horizontal="center" vertical="center" wrapText="1"/>
      <protection/>
    </xf>
    <xf numFmtId="10" fontId="3" fillId="0" borderId="10" xfId="56" applyNumberFormat="1" applyFont="1" applyBorder="1" applyAlignment="1">
      <alignment horizontal="center" vertical="center" wrapText="1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0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6" fontId="3" fillId="0" borderId="19" xfId="56" applyNumberFormat="1" applyFont="1" applyFill="1" applyBorder="1" applyAlignment="1">
      <alignment vertical="center"/>
      <protection/>
    </xf>
    <xf numFmtId="166" fontId="3" fillId="36" borderId="10" xfId="56" applyNumberFormat="1" applyFont="1" applyFill="1" applyBorder="1" applyAlignment="1">
      <alignment vertical="center"/>
      <protection/>
    </xf>
    <xf numFmtId="0" fontId="2" fillId="0" borderId="25" xfId="56" applyNumberFormat="1" applyFont="1" applyBorder="1" applyAlignment="1">
      <alignment vertical="center" wrapText="1"/>
      <protection/>
    </xf>
    <xf numFmtId="0" fontId="2" fillId="0" borderId="25" xfId="56" applyNumberFormat="1" applyFont="1" applyBorder="1" applyAlignment="1">
      <alignment horizontal="left" vertical="center" wrapText="1"/>
      <protection/>
    </xf>
    <xf numFmtId="0" fontId="2" fillId="0" borderId="25" xfId="56" applyNumberFormat="1" applyFont="1" applyBorder="1" applyAlignment="1" quotePrefix="1">
      <alignment vertical="center" wrapText="1"/>
      <protection/>
    </xf>
    <xf numFmtId="0" fontId="2" fillId="0" borderId="26" xfId="56" applyNumberFormat="1" applyFont="1" applyBorder="1" applyAlignment="1" quotePrefix="1">
      <alignment vertical="center" wrapText="1"/>
      <protection/>
    </xf>
    <xf numFmtId="0" fontId="2" fillId="0" borderId="27" xfId="56" applyNumberFormat="1" applyFont="1" applyBorder="1" applyAlignment="1" quotePrefix="1">
      <alignment vertical="center" wrapText="1"/>
      <protection/>
    </xf>
    <xf numFmtId="0" fontId="3" fillId="0" borderId="28" xfId="56" applyNumberFormat="1" applyFont="1" applyBorder="1" applyAlignment="1">
      <alignment horizontal="left" vertical="center" wrapText="1"/>
      <protection/>
    </xf>
    <xf numFmtId="0" fontId="3" fillId="0" borderId="29" xfId="56" applyNumberFormat="1" applyFont="1" applyBorder="1" applyAlignment="1">
      <alignment horizontal="left" vertical="center" wrapText="1"/>
      <protection/>
    </xf>
    <xf numFmtId="0" fontId="3" fillId="0" borderId="28" xfId="56" applyNumberFormat="1" applyFont="1" applyBorder="1" applyAlignment="1">
      <alignment horizontal="center" vertical="center" wrapText="1"/>
      <protection/>
    </xf>
    <xf numFmtId="49" fontId="8" fillId="37" borderId="30" xfId="56" applyNumberFormat="1" applyFont="1" applyFill="1" applyBorder="1" applyAlignment="1">
      <alignment horizontal="center"/>
      <protection/>
    </xf>
    <xf numFmtId="49" fontId="8" fillId="37" borderId="31" xfId="56" applyNumberFormat="1" applyFont="1" applyFill="1" applyBorder="1" applyAlignment="1">
      <alignment horizont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8" fillId="0" borderId="19" xfId="56" applyNumberFormat="1" applyFont="1" applyFill="1" applyBorder="1" applyAlignment="1">
      <alignment vertical="center"/>
      <protection/>
    </xf>
    <xf numFmtId="166" fontId="3" fillId="36" borderId="19" xfId="56" applyNumberFormat="1" applyFont="1" applyFill="1" applyBorder="1" applyAlignment="1">
      <alignment vertical="center"/>
      <protection/>
    </xf>
    <xf numFmtId="166" fontId="8" fillId="36" borderId="10" xfId="56" applyNumberFormat="1" applyFont="1" applyFill="1" applyBorder="1" applyAlignment="1">
      <alignment vertical="center"/>
      <protection/>
    </xf>
    <xf numFmtId="166" fontId="10" fillId="0" borderId="11" xfId="56" applyNumberFormat="1" applyFont="1" applyFill="1" applyBorder="1" applyAlignment="1">
      <alignment vertical="center"/>
      <protection/>
    </xf>
    <xf numFmtId="166" fontId="8" fillId="36" borderId="19" xfId="56" applyNumberFormat="1" applyFont="1" applyFill="1" applyBorder="1" applyAlignment="1">
      <alignment vertical="center"/>
      <protection/>
    </xf>
    <xf numFmtId="166" fontId="8" fillId="0" borderId="18" xfId="56" applyNumberFormat="1" applyFont="1" applyFill="1" applyBorder="1" applyAlignment="1">
      <alignment vertical="center"/>
      <protection/>
    </xf>
    <xf numFmtId="4" fontId="10" fillId="0" borderId="10" xfId="58" applyNumberFormat="1" applyFont="1" applyFill="1" applyBorder="1" applyAlignment="1" applyProtection="1">
      <alignment vertical="center"/>
      <protection/>
    </xf>
    <xf numFmtId="166" fontId="3" fillId="0" borderId="14" xfId="56" applyNumberFormat="1" applyFont="1" applyFill="1" applyBorder="1" applyAlignment="1">
      <alignment vertical="center"/>
      <protection/>
    </xf>
    <xf numFmtId="166" fontId="8" fillId="0" borderId="16" xfId="56" applyNumberFormat="1" applyFont="1" applyFill="1" applyBorder="1" applyAlignment="1">
      <alignment vertical="center"/>
      <protection/>
    </xf>
    <xf numFmtId="166" fontId="3" fillId="0" borderId="11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horizontal="right" vertical="center"/>
      <protection/>
    </xf>
    <xf numFmtId="166" fontId="3" fillId="0" borderId="12" xfId="56" applyNumberFormat="1" applyFont="1" applyFill="1" applyBorder="1" applyAlignment="1">
      <alignment vertical="center"/>
      <protection/>
    </xf>
    <xf numFmtId="166" fontId="3" fillId="0" borderId="13" xfId="56" applyNumberFormat="1" applyFont="1" applyFill="1" applyBorder="1" applyAlignment="1">
      <alignment vertical="center"/>
      <protection/>
    </xf>
    <xf numFmtId="165" fontId="2" fillId="0" borderId="11" xfId="56" applyNumberFormat="1" applyFont="1" applyFill="1" applyBorder="1" applyAlignment="1">
      <alignment vertical="center"/>
      <protection/>
    </xf>
    <xf numFmtId="165" fontId="10" fillId="0" borderId="10" xfId="56" applyNumberFormat="1" applyFont="1" applyFill="1" applyBorder="1" applyAlignment="1">
      <alignment vertical="center"/>
      <protection/>
    </xf>
    <xf numFmtId="165" fontId="3" fillId="0" borderId="11" xfId="56" applyNumberFormat="1" applyFont="1" applyFill="1" applyBorder="1" applyAlignment="1">
      <alignment vertical="center"/>
      <protection/>
    </xf>
    <xf numFmtId="165" fontId="8" fillId="0" borderId="10" xfId="56" applyNumberFormat="1" applyFont="1" applyFill="1" applyBorder="1" applyAlignment="1">
      <alignment vertical="center"/>
      <protection/>
    </xf>
    <xf numFmtId="166" fontId="8" fillId="0" borderId="12" xfId="56" applyNumberFormat="1" applyFont="1" applyFill="1" applyBorder="1" applyAlignment="1">
      <alignment vertical="center"/>
      <protection/>
    </xf>
    <xf numFmtId="166" fontId="2" fillId="0" borderId="12" xfId="56" applyNumberFormat="1" applyFont="1" applyFill="1" applyBorder="1" applyAlignment="1">
      <alignment vertical="center"/>
      <protection/>
    </xf>
    <xf numFmtId="10" fontId="2" fillId="0" borderId="22" xfId="56" applyNumberFormat="1" applyFont="1" applyFill="1" applyBorder="1" applyAlignment="1">
      <alignment vertical="center"/>
      <protection/>
    </xf>
    <xf numFmtId="10" fontId="2" fillId="0" borderId="10" xfId="56" applyNumberFormat="1" applyFont="1" applyFill="1" applyBorder="1" applyAlignment="1">
      <alignment vertical="center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10" fontId="3" fillId="0" borderId="22" xfId="56" applyNumberFormat="1" applyFont="1" applyFill="1" applyBorder="1" applyAlignment="1">
      <alignment horizontal="right" vertical="center"/>
      <protection/>
    </xf>
    <xf numFmtId="10" fontId="3" fillId="0" borderId="22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Fill="1" applyBorder="1" applyAlignment="1">
      <alignment vertical="center"/>
      <protection/>
    </xf>
    <xf numFmtId="10" fontId="3" fillId="0" borderId="11" xfId="56" applyNumberFormat="1" applyFont="1" applyFill="1" applyBorder="1" applyAlignment="1">
      <alignment horizontal="center" vertical="center" wrapText="1"/>
      <protection/>
    </xf>
    <xf numFmtId="10" fontId="3" fillId="0" borderId="10" xfId="56" applyNumberFormat="1" applyFont="1" applyFill="1" applyBorder="1" applyAlignment="1">
      <alignment horizontal="center" vertical="center" wrapText="1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4" xfId="56" applyNumberFormat="1" applyFont="1" applyFill="1" applyBorder="1" applyAlignment="1">
      <alignment vertical="center"/>
      <protection/>
    </xf>
    <xf numFmtId="166" fontId="8" fillId="37" borderId="16" xfId="56" applyNumberFormat="1" applyFont="1" applyFill="1" applyBorder="1" applyAlignment="1">
      <alignment vertical="center"/>
      <protection/>
    </xf>
    <xf numFmtId="166" fontId="3" fillId="36" borderId="11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horizontal="center" vertical="center"/>
      <protection/>
    </xf>
    <xf numFmtId="4" fontId="10" fillId="0" borderId="10" xfId="57" applyNumberFormat="1" applyFont="1" applyFill="1" applyBorder="1" applyAlignment="1" applyProtection="1">
      <alignment vertical="center"/>
      <protection/>
    </xf>
    <xf numFmtId="166" fontId="3" fillId="0" borderId="18" xfId="56" applyNumberFormat="1" applyFont="1" applyFill="1" applyBorder="1" applyAlignment="1">
      <alignment vertical="center"/>
      <protection/>
    </xf>
    <xf numFmtId="166" fontId="3" fillId="0" borderId="16" xfId="56" applyNumberFormat="1" applyFont="1" applyFill="1" applyBorder="1" applyAlignment="1">
      <alignment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166" fontId="2" fillId="0" borderId="17" xfId="56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" fontId="8" fillId="36" borderId="19" xfId="56" applyNumberFormat="1" applyFont="1" applyFill="1" applyBorder="1" applyAlignment="1">
      <alignment vertical="center"/>
      <protection/>
    </xf>
    <xf numFmtId="10" fontId="3" fillId="35" borderId="19" xfId="56" applyNumberFormat="1" applyFont="1" applyFill="1" applyBorder="1" applyAlignment="1">
      <alignment horizontal="center" vertical="center"/>
      <protection/>
    </xf>
    <xf numFmtId="10" fontId="3" fillId="35" borderId="16" xfId="56" applyNumberFormat="1" applyFont="1" applyFill="1" applyBorder="1" applyAlignment="1">
      <alignment horizontal="center" vertical="center"/>
      <protection/>
    </xf>
    <xf numFmtId="0" fontId="2" fillId="0" borderId="26" xfId="56" applyNumberFormat="1" applyFont="1" applyBorder="1" applyAlignment="1">
      <alignment vertical="center" wrapText="1"/>
      <protection/>
    </xf>
    <xf numFmtId="0" fontId="2" fillId="0" borderId="27" xfId="56" applyNumberFormat="1" applyFont="1" applyBorder="1" applyAlignment="1">
      <alignment vertical="center" wrapText="1"/>
      <protection/>
    </xf>
    <xf numFmtId="0" fontId="3" fillId="0" borderId="25" xfId="56" applyNumberFormat="1" applyFont="1" applyBorder="1" applyAlignment="1">
      <alignment horizontal="left" vertical="center" wrapText="1"/>
      <protection/>
    </xf>
    <xf numFmtId="0" fontId="3" fillId="0" borderId="26" xfId="56" applyNumberFormat="1" applyFont="1" applyBorder="1" applyAlignment="1">
      <alignment horizontal="left" vertical="center" wrapText="1"/>
      <protection/>
    </xf>
    <xf numFmtId="0" fontId="3" fillId="0" borderId="27" xfId="56" applyNumberFormat="1" applyFont="1" applyBorder="1" applyAlignment="1">
      <alignment horizontal="left" vertical="center" wrapText="1"/>
      <protection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0" borderId="29" xfId="56" applyNumberFormat="1" applyFont="1" applyBorder="1" applyAlignment="1">
      <alignment horizontal="left" vertical="center" wrapText="1"/>
      <protection/>
    </xf>
    <xf numFmtId="0" fontId="3" fillId="0" borderId="33" xfId="56" applyNumberFormat="1" applyFont="1" applyBorder="1" applyAlignment="1">
      <alignment horizontal="left" vertical="center" wrapText="1"/>
      <protection/>
    </xf>
    <xf numFmtId="0" fontId="3" fillId="0" borderId="34" xfId="56" applyNumberFormat="1" applyFont="1" applyBorder="1" applyAlignment="1">
      <alignment horizontal="left" vertical="center" wrapText="1"/>
      <protection/>
    </xf>
    <xf numFmtId="0" fontId="3" fillId="0" borderId="35" xfId="56" applyNumberFormat="1" applyFont="1" applyBorder="1" applyAlignment="1">
      <alignment horizontal="left" vertical="center" wrapText="1"/>
      <protection/>
    </xf>
    <xf numFmtId="0" fontId="3" fillId="0" borderId="36" xfId="56" applyNumberFormat="1" applyFont="1" applyBorder="1" applyAlignment="1">
      <alignment horizontal="left" vertical="center" wrapText="1"/>
      <protection/>
    </xf>
    <xf numFmtId="0" fontId="3" fillId="0" borderId="37" xfId="56" applyNumberFormat="1" applyFont="1" applyBorder="1" applyAlignment="1">
      <alignment horizontal="left" vertical="center" wrapText="1"/>
      <protection/>
    </xf>
    <xf numFmtId="0" fontId="10" fillId="0" borderId="25" xfId="56" applyNumberFormat="1" applyFont="1" applyBorder="1" applyAlignment="1">
      <alignment horizontal="left" vertical="center" wrapText="1"/>
      <protection/>
    </xf>
    <xf numFmtId="0" fontId="10" fillId="0" borderId="26" xfId="56" applyNumberFormat="1" applyFont="1" applyBorder="1" applyAlignment="1">
      <alignment horizontal="left" vertical="center" wrapText="1"/>
      <protection/>
    </xf>
    <xf numFmtId="0" fontId="10" fillId="0" borderId="27" xfId="56" applyNumberFormat="1" applyFont="1" applyBorder="1" applyAlignment="1">
      <alignment horizontal="left" vertical="center" wrapText="1"/>
      <protection/>
    </xf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2" fillId="0" borderId="25" xfId="56" applyNumberFormat="1" applyFont="1" applyBorder="1" applyAlignment="1" quotePrefix="1">
      <alignment horizontal="center" vertical="center" wrapText="1"/>
      <protection/>
    </xf>
    <xf numFmtId="0" fontId="2" fillId="0" borderId="26" xfId="56" applyNumberFormat="1" applyFont="1" applyBorder="1" applyAlignment="1" quotePrefix="1">
      <alignment horizontal="center" vertical="center" wrapText="1"/>
      <protection/>
    </xf>
    <xf numFmtId="0" fontId="2" fillId="0" borderId="27" xfId="56" applyNumberFormat="1" applyFont="1" applyBorder="1" applyAlignment="1" quotePrefix="1">
      <alignment horizontal="center" vertical="center" wrapText="1"/>
      <protection/>
    </xf>
    <xf numFmtId="0" fontId="2" fillId="0" borderId="25" xfId="56" applyNumberFormat="1" applyFont="1" applyBorder="1" applyAlignment="1">
      <alignment horizontal="center" vertical="center" wrapText="1"/>
      <protection/>
    </xf>
    <xf numFmtId="0" fontId="2" fillId="0" borderId="26" xfId="56" applyNumberFormat="1" applyFont="1" applyBorder="1" applyAlignment="1">
      <alignment horizontal="center" vertical="center" wrapText="1"/>
      <protection/>
    </xf>
    <xf numFmtId="0" fontId="2" fillId="0" borderId="27" xfId="56" applyNumberFormat="1" applyFont="1" applyBorder="1" applyAlignment="1">
      <alignment horizontal="center" vertical="center" wrapText="1"/>
      <protection/>
    </xf>
    <xf numFmtId="0" fontId="8" fillId="34" borderId="28" xfId="56" applyNumberFormat="1" applyFont="1" applyFill="1" applyBorder="1" applyAlignment="1">
      <alignment horizontal="left" vertical="center" wrapText="1"/>
      <protection/>
    </xf>
    <xf numFmtId="0" fontId="8" fillId="34" borderId="38" xfId="56" applyNumberFormat="1" applyFont="1" applyFill="1" applyBorder="1" applyAlignment="1">
      <alignment horizontal="left" vertical="center" wrapText="1"/>
      <protection/>
    </xf>
    <xf numFmtId="0" fontId="8" fillId="34" borderId="39" xfId="56" applyNumberFormat="1" applyFont="1" applyFill="1" applyBorder="1" applyAlignment="1">
      <alignment horizontal="left" vertical="center" wrapText="1"/>
      <protection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 horizontal="center" vertical="center" wrapText="1"/>
    </xf>
    <xf numFmtId="0" fontId="2" fillId="0" borderId="26" xfId="56" applyNumberFormat="1" applyFont="1" applyBorder="1" applyAlignment="1">
      <alignment horizontal="left" vertical="center" wrapText="1"/>
      <protection/>
    </xf>
    <xf numFmtId="0" fontId="2" fillId="0" borderId="27" xfId="56" applyNumberFormat="1" applyFont="1" applyBorder="1" applyAlignment="1">
      <alignment horizontal="left" vertical="center" wrapText="1"/>
      <protection/>
    </xf>
    <xf numFmtId="0" fontId="2" fillId="0" borderId="10" xfId="56" applyNumberFormat="1" applyFont="1" applyBorder="1" applyAlignment="1">
      <alignment horizontal="left" vertical="center" wrapText="1"/>
      <protection/>
    </xf>
    <xf numFmtId="0" fontId="2" fillId="0" borderId="42" xfId="56" applyNumberFormat="1" applyFont="1" applyBorder="1" applyAlignment="1">
      <alignment horizontal="left" vertical="center" wrapText="1"/>
      <protection/>
    </xf>
    <xf numFmtId="0" fontId="8" fillId="34" borderId="10" xfId="56" applyNumberFormat="1" applyFont="1" applyFill="1" applyBorder="1" applyAlignment="1">
      <alignment horizontal="left" vertical="center" wrapText="1"/>
      <protection/>
    </xf>
    <xf numFmtId="0" fontId="8" fillId="34" borderId="42" xfId="56" applyNumberFormat="1" applyFont="1" applyFill="1" applyBorder="1" applyAlignment="1">
      <alignment horizontal="left" vertical="center" wrapText="1"/>
      <protection/>
    </xf>
    <xf numFmtId="0" fontId="3" fillId="34" borderId="10" xfId="56" applyNumberFormat="1" applyFont="1" applyFill="1" applyBorder="1" applyAlignment="1">
      <alignment horizontal="left" vertical="center" wrapText="1"/>
      <protection/>
    </xf>
    <xf numFmtId="0" fontId="3" fillId="34" borderId="42" xfId="56" applyNumberFormat="1" applyFont="1" applyFill="1" applyBorder="1" applyAlignment="1">
      <alignment horizontal="left" vertical="center" wrapText="1"/>
      <protection/>
    </xf>
    <xf numFmtId="0" fontId="3" fillId="0" borderId="23" xfId="56" applyNumberFormat="1" applyFont="1" applyBorder="1" applyAlignment="1">
      <alignment horizontal="left" vertical="center" wrapText="1"/>
      <protection/>
    </xf>
    <xf numFmtId="0" fontId="3" fillId="0" borderId="43" xfId="56" applyNumberFormat="1" applyFont="1" applyBorder="1" applyAlignment="1">
      <alignment horizontal="left" vertical="center" wrapText="1"/>
      <protection/>
    </xf>
    <xf numFmtId="0" fontId="3" fillId="0" borderId="44" xfId="56" applyNumberFormat="1" applyFont="1" applyBorder="1" applyAlignment="1">
      <alignment horizontal="left" vertical="center" wrapText="1"/>
      <protection/>
    </xf>
    <xf numFmtId="0" fontId="3" fillId="0" borderId="45" xfId="56" applyNumberFormat="1" applyFont="1" applyBorder="1" applyAlignment="1">
      <alignment horizontal="left" vertical="center" wrapText="1"/>
      <protection/>
    </xf>
    <xf numFmtId="0" fontId="3" fillId="0" borderId="46" xfId="56" applyNumberFormat="1" applyFont="1" applyBorder="1" applyAlignment="1">
      <alignment horizontal="left" vertical="center" wrapText="1"/>
      <protection/>
    </xf>
    <xf numFmtId="0" fontId="3" fillId="0" borderId="47" xfId="56" applyNumberFormat="1" applyFont="1" applyBorder="1" applyAlignment="1">
      <alignment horizontal="left" vertical="center" wrapText="1"/>
      <protection/>
    </xf>
    <xf numFmtId="0" fontId="3" fillId="0" borderId="0" xfId="56" applyNumberFormat="1" applyFont="1" applyBorder="1" applyAlignment="1">
      <alignment horizontal="left" vertical="center" wrapText="1"/>
      <protection/>
    </xf>
    <xf numFmtId="0" fontId="3" fillId="0" borderId="48" xfId="56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9" fontId="3" fillId="33" borderId="15" xfId="56" applyNumberFormat="1" applyFont="1" applyFill="1" applyBorder="1" applyAlignment="1">
      <alignment horizontal="center" vertical="center"/>
      <protection/>
    </xf>
    <xf numFmtId="0" fontId="13" fillId="0" borderId="49" xfId="0" applyFont="1" applyBorder="1" applyAlignment="1">
      <alignment/>
    </xf>
    <xf numFmtId="49" fontId="8" fillId="37" borderId="46" xfId="56" applyNumberFormat="1" applyFont="1" applyFill="1" applyBorder="1" applyAlignment="1">
      <alignment horizontal="center" vertical="center" wrapText="1"/>
      <protection/>
    </xf>
    <xf numFmtId="49" fontId="8" fillId="37" borderId="50" xfId="56" applyNumberFormat="1" applyFont="1" applyFill="1" applyBorder="1" applyAlignment="1">
      <alignment horizontal="center" vertical="center" wrapText="1"/>
      <protection/>
    </xf>
    <xf numFmtId="49" fontId="8" fillId="37" borderId="51" xfId="56" applyNumberFormat="1" applyFont="1" applyFill="1" applyBorder="1" applyAlignment="1">
      <alignment horizontal="center" vertical="center" wrapText="1"/>
      <protection/>
    </xf>
    <xf numFmtId="49" fontId="8" fillId="37" borderId="52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5" xfId="56" applyNumberFormat="1" applyFont="1" applyBorder="1" applyAlignment="1">
      <alignment vertical="center" wrapText="1"/>
      <protection/>
    </xf>
    <xf numFmtId="0" fontId="3" fillId="0" borderId="26" xfId="56" applyNumberFormat="1" applyFont="1" applyBorder="1" applyAlignment="1">
      <alignment vertical="center" wrapText="1"/>
      <protection/>
    </xf>
    <xf numFmtId="0" fontId="3" fillId="0" borderId="27" xfId="56" applyNumberFormat="1" applyFont="1" applyBorder="1" applyAlignment="1">
      <alignment vertical="center" wrapText="1"/>
      <protection/>
    </xf>
    <xf numFmtId="0" fontId="3" fillId="0" borderId="53" xfId="56" applyNumberFormat="1" applyFont="1" applyBorder="1" applyAlignment="1">
      <alignment horizontal="left" vertical="center" wrapText="1"/>
      <protection/>
    </xf>
    <xf numFmtId="0" fontId="3" fillId="0" borderId="54" xfId="56" applyNumberFormat="1" applyFont="1" applyBorder="1" applyAlignment="1">
      <alignment horizontal="left" vertical="center" wrapText="1"/>
      <protection/>
    </xf>
    <xf numFmtId="0" fontId="3" fillId="0" borderId="55" xfId="56" applyNumberFormat="1" applyFont="1" applyBorder="1" applyAlignment="1">
      <alignment horizontal="left" vertical="center" wrapText="1"/>
      <protection/>
    </xf>
    <xf numFmtId="0" fontId="2" fillId="0" borderId="45" xfId="56" applyNumberFormat="1" applyFont="1" applyBorder="1" applyAlignment="1">
      <alignment horizontal="left" vertical="center" wrapText="1"/>
      <protection/>
    </xf>
    <xf numFmtId="0" fontId="2" fillId="0" borderId="46" xfId="56" applyNumberFormat="1" applyFont="1" applyBorder="1" applyAlignment="1">
      <alignment horizontal="left" vertical="center" wrapText="1"/>
      <protection/>
    </xf>
    <xf numFmtId="0" fontId="2" fillId="0" borderId="50" xfId="56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3" borderId="29" xfId="56" applyNumberFormat="1" applyFont="1" applyFill="1" applyBorder="1" applyAlignment="1">
      <alignment horizontal="left" vertical="center" wrapText="1"/>
      <protection/>
    </xf>
    <xf numFmtId="0" fontId="3" fillId="33" borderId="33" xfId="56" applyNumberFormat="1" applyFont="1" applyFill="1" applyBorder="1" applyAlignment="1">
      <alignment horizontal="left" vertical="center" wrapText="1"/>
      <protection/>
    </xf>
    <xf numFmtId="0" fontId="3" fillId="33" borderId="48" xfId="56" applyNumberFormat="1" applyFont="1" applyFill="1" applyBorder="1" applyAlignment="1">
      <alignment horizontal="left" vertical="center" wrapText="1"/>
      <protection/>
    </xf>
    <xf numFmtId="0" fontId="8" fillId="34" borderId="25" xfId="56" applyNumberFormat="1" applyFont="1" applyFill="1" applyBorder="1" applyAlignment="1">
      <alignment horizontal="left" vertical="center" wrapText="1"/>
      <protection/>
    </xf>
    <xf numFmtId="0" fontId="8" fillId="34" borderId="26" xfId="56" applyNumberFormat="1" applyFont="1" applyFill="1" applyBorder="1" applyAlignment="1">
      <alignment horizontal="left" vertical="center" wrapText="1"/>
      <protection/>
    </xf>
    <xf numFmtId="0" fontId="8" fillId="34" borderId="27" xfId="56" applyNumberFormat="1" applyFont="1" applyFill="1" applyBorder="1" applyAlignment="1">
      <alignment horizontal="left" vertical="center" wrapText="1"/>
      <protection/>
    </xf>
    <xf numFmtId="0" fontId="14" fillId="37" borderId="56" xfId="0" applyFont="1" applyFill="1" applyBorder="1" applyAlignment="1">
      <alignment horizontal="center" vertical="center" wrapText="1"/>
    </xf>
    <xf numFmtId="0" fontId="3" fillId="34" borderId="25" xfId="56" applyNumberFormat="1" applyFont="1" applyFill="1" applyBorder="1" applyAlignment="1">
      <alignment vertical="center" wrapText="1"/>
      <protection/>
    </xf>
    <xf numFmtId="0" fontId="3" fillId="34" borderId="26" xfId="56" applyNumberFormat="1" applyFont="1" applyFill="1" applyBorder="1" applyAlignment="1">
      <alignment vertical="center" wrapText="1"/>
      <protection/>
    </xf>
    <xf numFmtId="0" fontId="3" fillId="34" borderId="27" xfId="56" applyNumberFormat="1" applyFont="1" applyFill="1" applyBorder="1" applyAlignment="1">
      <alignment vertical="center" wrapText="1"/>
      <protection/>
    </xf>
    <xf numFmtId="10" fontId="3" fillId="35" borderId="16" xfId="56" applyNumberFormat="1" applyFont="1" applyFill="1" applyBorder="1" applyAlignment="1">
      <alignment horizontal="right" vertical="center"/>
      <protection/>
    </xf>
    <xf numFmtId="10" fontId="3" fillId="35" borderId="10" xfId="56" applyNumberFormat="1" applyFont="1" applyFill="1" applyBorder="1" applyAlignment="1">
      <alignment horizontal="right" vertical="center"/>
      <protection/>
    </xf>
    <xf numFmtId="0" fontId="2" fillId="0" borderId="38" xfId="56" applyNumberFormat="1" applyFont="1" applyBorder="1" applyAlignment="1">
      <alignment horizontal="left" vertical="center" wrapText="1"/>
      <protection/>
    </xf>
    <xf numFmtId="0" fontId="2" fillId="0" borderId="39" xfId="56" applyNumberFormat="1" applyFont="1" applyBorder="1" applyAlignment="1">
      <alignment horizontal="left" vertical="center" wrapText="1"/>
      <protection/>
    </xf>
    <xf numFmtId="0" fontId="2" fillId="0" borderId="27" xfId="56" applyNumberFormat="1" applyFont="1" applyBorder="1" applyAlignment="1" quotePrefix="1">
      <alignment horizontal="left" vertical="center" wrapText="1"/>
      <protection/>
    </xf>
    <xf numFmtId="0" fontId="2" fillId="0" borderId="26" xfId="56" applyNumberFormat="1" applyFont="1" applyBorder="1" applyAlignment="1" quotePrefix="1">
      <alignment horizontal="left" vertical="center" wrapText="1"/>
      <protection/>
    </xf>
    <xf numFmtId="10" fontId="3" fillId="0" borderId="16" xfId="56" applyNumberFormat="1" applyFont="1" applyFill="1" applyBorder="1" applyAlignment="1">
      <alignment horizontal="right" vertical="center"/>
      <protection/>
    </xf>
    <xf numFmtId="10" fontId="3" fillId="0" borderId="10" xfId="56" applyNumberFormat="1" applyFont="1" applyFill="1" applyBorder="1" applyAlignment="1">
      <alignment horizontal="right" vertical="center"/>
      <protection/>
    </xf>
    <xf numFmtId="10" fontId="3" fillId="0" borderId="19" xfId="56" applyNumberFormat="1" applyFont="1" applyFill="1" applyBorder="1" applyAlignment="1">
      <alignment horizontal="center" vertical="center"/>
      <protection/>
    </xf>
    <xf numFmtId="10" fontId="3" fillId="0" borderId="16" xfId="56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8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65</xdr:row>
      <xdr:rowOff>152400</xdr:rowOff>
    </xdr:from>
    <xdr:to>
      <xdr:col>7</xdr:col>
      <xdr:colOff>190500</xdr:colOff>
      <xdr:row>69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336125"/>
          <a:ext cx="575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3</xdr:col>
      <xdr:colOff>200025</xdr:colOff>
      <xdr:row>72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9457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72"/>
  <sheetViews>
    <sheetView tabSelected="1" view="pageBreakPreview" zoomScaleSheetLayoutView="100" workbookViewId="0" topLeftCell="A55">
      <selection activeCell="B59" sqref="B59:D59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16.69921875" style="3" customWidth="1"/>
    <col min="5" max="5" width="11.69921875" style="3" bestFit="1" customWidth="1"/>
    <col min="6" max="6" width="12.3984375" style="3" customWidth="1"/>
    <col min="7" max="7" width="11.69921875" style="3" bestFit="1" customWidth="1"/>
    <col min="8" max="8" width="11.8984375" style="3" bestFit="1" customWidth="1"/>
    <col min="9" max="10" width="11.69921875" style="3" bestFit="1" customWidth="1"/>
    <col min="11" max="11" width="11.8984375" style="3" bestFit="1" customWidth="1"/>
    <col min="12" max="13" width="11.69921875" style="3" bestFit="1" customWidth="1"/>
    <col min="14" max="14" width="13" style="3" customWidth="1"/>
    <col min="15" max="16" width="11.69921875" style="3" bestFit="1" customWidth="1"/>
    <col min="17" max="17" width="13" style="3" customWidth="1"/>
    <col min="18" max="18" width="11.69921875" style="3" bestFit="1" customWidth="1"/>
    <col min="19" max="16384" width="9" style="4" customWidth="1"/>
  </cols>
  <sheetData>
    <row r="1" spans="1:3" ht="12">
      <c r="A1" s="37"/>
      <c r="B1" s="37"/>
      <c r="C1" s="37"/>
    </row>
    <row r="2" spans="1:18" ht="12">
      <c r="A2" s="169" t="s">
        <v>85</v>
      </c>
      <c r="B2" s="169"/>
      <c r="C2" s="169"/>
      <c r="N2" s="188" t="s">
        <v>50</v>
      </c>
      <c r="O2" s="189"/>
      <c r="P2" s="189"/>
      <c r="Q2" s="189"/>
      <c r="R2" s="4"/>
    </row>
    <row r="3" spans="1:18" ht="18.75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4"/>
      <c r="Q3" s="4"/>
      <c r="R3" s="4"/>
    </row>
    <row r="4" ht="12.75" thickBot="1"/>
    <row r="5" spans="1:18" ht="15" customHeight="1">
      <c r="A5" s="170" t="s">
        <v>0</v>
      </c>
      <c r="B5" s="172" t="s">
        <v>1</v>
      </c>
      <c r="C5" s="172"/>
      <c r="D5" s="173"/>
      <c r="E5" s="151" t="s">
        <v>53</v>
      </c>
      <c r="F5" s="196" t="s">
        <v>86</v>
      </c>
      <c r="G5" s="151" t="s">
        <v>92</v>
      </c>
      <c r="H5" s="139" t="s">
        <v>48</v>
      </c>
      <c r="I5" s="140"/>
      <c r="J5" s="140"/>
      <c r="K5" s="140"/>
      <c r="L5" s="140"/>
      <c r="M5" s="140"/>
      <c r="N5" s="140"/>
      <c r="O5" s="140"/>
      <c r="P5" s="140"/>
      <c r="Q5" s="140"/>
      <c r="R5" s="141"/>
    </row>
    <row r="6" spans="1:225" s="5" customFormat="1" ht="13.5" customHeight="1" thickBot="1">
      <c r="A6" s="171"/>
      <c r="B6" s="174"/>
      <c r="C6" s="174"/>
      <c r="D6" s="175"/>
      <c r="E6" s="152"/>
      <c r="F6" s="152"/>
      <c r="G6" s="152"/>
      <c r="H6" s="77">
        <v>2012</v>
      </c>
      <c r="I6" s="78">
        <v>2013</v>
      </c>
      <c r="J6" s="78">
        <v>2014</v>
      </c>
      <c r="K6" s="78">
        <v>2015</v>
      </c>
      <c r="L6" s="78">
        <v>2016</v>
      </c>
      <c r="M6" s="78">
        <v>2017</v>
      </c>
      <c r="N6" s="78">
        <v>2018</v>
      </c>
      <c r="O6" s="78">
        <v>2019</v>
      </c>
      <c r="P6" s="78" t="s">
        <v>87</v>
      </c>
      <c r="Q6" s="78" t="s">
        <v>88</v>
      </c>
      <c r="R6" s="78" t="s">
        <v>89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</row>
    <row r="7" spans="1:18" ht="15.75" customHeight="1">
      <c r="A7" s="14" t="s">
        <v>2</v>
      </c>
      <c r="B7" s="190" t="s">
        <v>40</v>
      </c>
      <c r="C7" s="191"/>
      <c r="D7" s="192"/>
      <c r="E7" s="21">
        <f>+E8+E10</f>
        <v>174080909.65</v>
      </c>
      <c r="F7" s="108">
        <f aca="true" t="shared" si="0" ref="F7:O7">+F8+F10</f>
        <v>174518592.35</v>
      </c>
      <c r="G7" s="109">
        <f>+G8+G10</f>
        <v>172826426.07999998</v>
      </c>
      <c r="H7" s="110">
        <f t="shared" si="0"/>
        <v>183804260.41999996</v>
      </c>
      <c r="I7" s="108">
        <f t="shared" si="0"/>
        <v>206050000</v>
      </c>
      <c r="J7" s="108">
        <f t="shared" si="0"/>
        <v>205410000</v>
      </c>
      <c r="K7" s="22">
        <f t="shared" si="0"/>
        <v>205070000</v>
      </c>
      <c r="L7" s="22">
        <f t="shared" si="0"/>
        <v>204000000</v>
      </c>
      <c r="M7" s="22">
        <f t="shared" si="0"/>
        <v>203000000</v>
      </c>
      <c r="N7" s="22">
        <f t="shared" si="0"/>
        <v>205000000</v>
      </c>
      <c r="O7" s="22">
        <f t="shared" si="0"/>
        <v>207000000</v>
      </c>
      <c r="P7" s="22">
        <f>+P8+P10</f>
        <v>208000000</v>
      </c>
      <c r="Q7" s="22">
        <f>+Q8+Q10</f>
        <v>208000000</v>
      </c>
      <c r="R7" s="22">
        <f>+R8+R10</f>
        <v>208000000</v>
      </c>
    </row>
    <row r="8" spans="1:18" ht="13.5" customHeight="1">
      <c r="A8" s="8" t="s">
        <v>3</v>
      </c>
      <c r="B8" s="69"/>
      <c r="C8" s="153" t="s">
        <v>4</v>
      </c>
      <c r="D8" s="154"/>
      <c r="E8" s="32">
        <v>153908726.15</v>
      </c>
      <c r="F8" s="62">
        <v>161115423.69</v>
      </c>
      <c r="G8" s="65">
        <v>165412602.19</v>
      </c>
      <c r="H8" s="63">
        <f>165102061.25+131900.53+22400-4352226+97926.19+328594+193102.57+111075+1451459.94+111938-235827.15+706471.67+782431</f>
        <v>164451306.99999997</v>
      </c>
      <c r="I8" s="63">
        <f>178000000+8519918.06+500000+5000000+50000</f>
        <v>192069918.06</v>
      </c>
      <c r="J8" s="63">
        <f>175000000+12000000+12000000</f>
        <v>199000000</v>
      </c>
      <c r="K8" s="63">
        <f>187000000+12000000</f>
        <v>199000000</v>
      </c>
      <c r="L8" s="62">
        <f>188000000+11000000</f>
        <v>199000000</v>
      </c>
      <c r="M8" s="18">
        <f>188000000+10000000</f>
        <v>198000000</v>
      </c>
      <c r="N8" s="18">
        <f>190000000+8000000+2000000</f>
        <v>200000000</v>
      </c>
      <c r="O8" s="18">
        <f>190000000+8000000+4000000</f>
        <v>202000000</v>
      </c>
      <c r="P8" s="18">
        <f>190000000+8000000+5000000</f>
        <v>203000000</v>
      </c>
      <c r="Q8" s="18">
        <f>190000000+8000000+5000000</f>
        <v>203000000</v>
      </c>
      <c r="R8" s="18">
        <f>190000000+8000000+5000000</f>
        <v>203000000</v>
      </c>
    </row>
    <row r="9" spans="1:18" ht="13.5" customHeight="1">
      <c r="A9" s="8" t="s">
        <v>55</v>
      </c>
      <c r="B9" s="70"/>
      <c r="C9" s="153" t="s">
        <v>54</v>
      </c>
      <c r="D9" s="154"/>
      <c r="E9" s="32">
        <v>3034686.82</v>
      </c>
      <c r="F9" s="62">
        <v>1283826.97</v>
      </c>
      <c r="G9" s="65">
        <v>1742527.06</v>
      </c>
      <c r="H9" s="63">
        <f>1062909.71+128499.08+27595.57</f>
        <v>1219004.36</v>
      </c>
      <c r="I9" s="63">
        <v>530427.95</v>
      </c>
      <c r="J9" s="63"/>
      <c r="K9" s="63"/>
      <c r="L9" s="62"/>
      <c r="M9" s="18"/>
      <c r="N9" s="18"/>
      <c r="O9" s="18"/>
      <c r="P9" s="18"/>
      <c r="Q9" s="18"/>
      <c r="R9" s="18"/>
    </row>
    <row r="10" spans="1:18" ht="13.5" customHeight="1">
      <c r="A10" s="8" t="s">
        <v>5</v>
      </c>
      <c r="B10" s="69"/>
      <c r="C10" s="153" t="s">
        <v>6</v>
      </c>
      <c r="D10" s="154"/>
      <c r="E10" s="32">
        <v>20172183.5</v>
      </c>
      <c r="F10" s="62">
        <f>13395168.66+8000</f>
        <v>13403168.66</v>
      </c>
      <c r="G10" s="65">
        <v>7413823.89</v>
      </c>
      <c r="H10" s="63">
        <f>15608236.64+3253320.88+182254+3205400+437883.03+26750-2446329.05-80007-834555.08</f>
        <v>19352953.42</v>
      </c>
      <c r="I10" s="63">
        <f>7980081.94+6000000</f>
        <v>13980081.940000001</v>
      </c>
      <c r="J10" s="63">
        <f>J11+410000</f>
        <v>6410000</v>
      </c>
      <c r="K10" s="63">
        <f>K11+70000</f>
        <v>6070000</v>
      </c>
      <c r="L10" s="62">
        <f aca="true" t="shared" si="1" ref="J10:R10">L11</f>
        <v>5000000</v>
      </c>
      <c r="M10" s="18">
        <f t="shared" si="1"/>
        <v>5000000</v>
      </c>
      <c r="N10" s="18">
        <f t="shared" si="1"/>
        <v>5000000</v>
      </c>
      <c r="O10" s="18">
        <f t="shared" si="1"/>
        <v>5000000</v>
      </c>
      <c r="P10" s="18">
        <f t="shared" si="1"/>
        <v>5000000</v>
      </c>
      <c r="Q10" s="18">
        <f t="shared" si="1"/>
        <v>5000000</v>
      </c>
      <c r="R10" s="18">
        <f t="shared" si="1"/>
        <v>5000000</v>
      </c>
    </row>
    <row r="11" spans="1:18" ht="13.5" customHeight="1">
      <c r="A11" s="8" t="s">
        <v>10</v>
      </c>
      <c r="B11" s="71"/>
      <c r="C11" s="72"/>
      <c r="D11" s="73" t="s">
        <v>7</v>
      </c>
      <c r="E11" s="32">
        <v>3480824.37</v>
      </c>
      <c r="F11" s="62">
        <v>5700000</v>
      </c>
      <c r="G11" s="65">
        <v>1655252.64</v>
      </c>
      <c r="H11" s="63">
        <f>5500000-800000</f>
        <v>4700000</v>
      </c>
      <c r="I11" s="63">
        <v>6000000</v>
      </c>
      <c r="J11" s="63">
        <v>6000000</v>
      </c>
      <c r="K11" s="63">
        <v>6000000</v>
      </c>
      <c r="L11" s="62">
        <v>5000000</v>
      </c>
      <c r="M11" s="18">
        <v>5000000</v>
      </c>
      <c r="N11" s="18">
        <v>5000000</v>
      </c>
      <c r="O11" s="18">
        <v>5000000</v>
      </c>
      <c r="P11" s="18">
        <v>5000000</v>
      </c>
      <c r="Q11" s="18">
        <v>5000000</v>
      </c>
      <c r="R11" s="18">
        <v>5000000</v>
      </c>
    </row>
    <row r="12" spans="1:18" ht="13.5" customHeight="1">
      <c r="A12" s="8" t="s">
        <v>13</v>
      </c>
      <c r="B12" s="69"/>
      <c r="C12" s="153" t="s">
        <v>54</v>
      </c>
      <c r="D12" s="154"/>
      <c r="E12" s="32">
        <v>12724595.97</v>
      </c>
      <c r="F12" s="62">
        <v>6974599.35</v>
      </c>
      <c r="G12" s="65">
        <v>4261017.15</v>
      </c>
      <c r="H12" s="63">
        <f>10000050.97+3253320.88+1000000-11723.97-2440409.05-80007+11723.97</f>
        <v>11732955.800000003</v>
      </c>
      <c r="I12" s="63">
        <v>7980081.94</v>
      </c>
      <c r="J12" s="63"/>
      <c r="K12" s="63"/>
      <c r="L12" s="62"/>
      <c r="M12" s="18"/>
      <c r="N12" s="18"/>
      <c r="O12" s="18"/>
      <c r="P12" s="18"/>
      <c r="Q12" s="18"/>
      <c r="R12" s="18"/>
    </row>
    <row r="13" spans="1:18" ht="50.25" customHeight="1">
      <c r="A13" s="9" t="s">
        <v>8</v>
      </c>
      <c r="B13" s="126" t="s">
        <v>9</v>
      </c>
      <c r="C13" s="127"/>
      <c r="D13" s="128"/>
      <c r="E13" s="34">
        <f>140066591.23-560872.41</f>
        <v>139505718.82</v>
      </c>
      <c r="F13" s="64">
        <v>151728674.87</v>
      </c>
      <c r="G13" s="89">
        <v>154848359.5</v>
      </c>
      <c r="H13" s="79">
        <f>155269247.17-1500000+1861938.17+83900-392162-1379973.81+336763+128403.84+1285165-270000-492687.06+111938+1094439+3379694.67-2315246+170000</f>
        <v>157371419.97999996</v>
      </c>
      <c r="I13" s="79">
        <v>155000000</v>
      </c>
      <c r="J13" s="79">
        <v>155000000</v>
      </c>
      <c r="K13" s="79">
        <v>155000000</v>
      </c>
      <c r="L13" s="64">
        <v>160000000</v>
      </c>
      <c r="M13" s="20">
        <v>160000000</v>
      </c>
      <c r="N13" s="20">
        <v>160000000</v>
      </c>
      <c r="O13" s="20">
        <v>160000000</v>
      </c>
      <c r="P13" s="20">
        <v>160000000</v>
      </c>
      <c r="Q13" s="20">
        <v>160000000</v>
      </c>
      <c r="R13" s="20">
        <v>160000000</v>
      </c>
    </row>
    <row r="14" spans="1:18" ht="13.5" customHeight="1">
      <c r="A14" s="8" t="s">
        <v>3</v>
      </c>
      <c r="B14" s="69"/>
      <c r="C14" s="153" t="s">
        <v>49</v>
      </c>
      <c r="D14" s="154"/>
      <c r="E14" s="32">
        <v>74289749.42</v>
      </c>
      <c r="F14" s="62">
        <v>75353802.73</v>
      </c>
      <c r="G14" s="65">
        <v>78622158.86</v>
      </c>
      <c r="H14" s="63">
        <f>84251962-1598374-640266-24845-74961-30642+199494-345973+30240+1261507+2552858-463344</f>
        <v>85117656</v>
      </c>
      <c r="I14" s="63">
        <v>85000000</v>
      </c>
      <c r="J14" s="63">
        <v>87000000</v>
      </c>
      <c r="K14" s="63">
        <v>88000000</v>
      </c>
      <c r="L14" s="62">
        <v>89000000</v>
      </c>
      <c r="M14" s="18"/>
      <c r="N14" s="18"/>
      <c r="O14" s="18"/>
      <c r="P14" s="18"/>
      <c r="Q14" s="18"/>
      <c r="R14" s="18"/>
    </row>
    <row r="15" spans="1:18" ht="13.5" customHeight="1">
      <c r="A15" s="8"/>
      <c r="B15" s="69"/>
      <c r="C15" s="153" t="s">
        <v>83</v>
      </c>
      <c r="D15" s="154"/>
      <c r="E15" s="32">
        <v>178976.05</v>
      </c>
      <c r="F15" s="62">
        <v>180498.61</v>
      </c>
      <c r="G15" s="83">
        <v>180498.59</v>
      </c>
      <c r="H15" s="63">
        <f>180111.77+4195.13</f>
        <v>184306.9</v>
      </c>
      <c r="I15" s="63">
        <v>185000</v>
      </c>
      <c r="J15" s="63">
        <v>185000</v>
      </c>
      <c r="K15" s="63">
        <v>185000</v>
      </c>
      <c r="L15" s="63">
        <v>185000</v>
      </c>
      <c r="M15" s="18"/>
      <c r="N15" s="18"/>
      <c r="O15" s="18"/>
      <c r="P15" s="18"/>
      <c r="Q15" s="18"/>
      <c r="R15" s="18"/>
    </row>
    <row r="16" spans="1:18" ht="27.75" customHeight="1">
      <c r="A16" s="8" t="s">
        <v>5</v>
      </c>
      <c r="B16" s="69"/>
      <c r="C16" s="153" t="s">
        <v>84</v>
      </c>
      <c r="D16" s="154"/>
      <c r="E16" s="32">
        <f>2281637.45+440251.1</f>
        <v>2721888.5500000003</v>
      </c>
      <c r="F16" s="62">
        <f>3049000-18090+23480</f>
        <v>3054390</v>
      </c>
      <c r="G16" s="65">
        <v>2782191.63</v>
      </c>
      <c r="H16" s="63">
        <f>3164624+147387+97883+37501-22000</f>
        <v>3425395</v>
      </c>
      <c r="I16" s="63">
        <v>3200000</v>
      </c>
      <c r="J16" s="63">
        <v>3200000</v>
      </c>
      <c r="K16" s="63">
        <v>3200000</v>
      </c>
      <c r="L16" s="62">
        <v>3200000</v>
      </c>
      <c r="M16" s="18"/>
      <c r="N16" s="18"/>
      <c r="O16" s="18"/>
      <c r="P16" s="18"/>
      <c r="Q16" s="18"/>
      <c r="R16" s="18"/>
    </row>
    <row r="17" spans="1:18" ht="25.5" customHeight="1">
      <c r="A17" s="8" t="s">
        <v>10</v>
      </c>
      <c r="B17" s="69"/>
      <c r="C17" s="153" t="s">
        <v>11</v>
      </c>
      <c r="D17" s="154"/>
      <c r="E17" s="32">
        <v>0</v>
      </c>
      <c r="F17" s="62">
        <v>610000</v>
      </c>
      <c r="G17" s="65">
        <v>0</v>
      </c>
      <c r="H17" s="63">
        <f>330000+320000-325000-162500</f>
        <v>162500</v>
      </c>
      <c r="I17" s="63">
        <f>320000+310000</f>
        <v>630000</v>
      </c>
      <c r="J17" s="63">
        <f>300000+280000</f>
        <v>580000</v>
      </c>
      <c r="K17" s="63">
        <f>260000+270000</f>
        <v>530000</v>
      </c>
      <c r="L17" s="62">
        <v>100000</v>
      </c>
      <c r="M17" s="18"/>
      <c r="N17" s="18"/>
      <c r="O17" s="18"/>
      <c r="P17" s="18"/>
      <c r="Q17" s="18"/>
      <c r="R17" s="18"/>
    </row>
    <row r="18" spans="1:18" ht="45.75" customHeight="1">
      <c r="A18" s="8" t="s">
        <v>13</v>
      </c>
      <c r="B18" s="142" t="s">
        <v>12</v>
      </c>
      <c r="C18" s="143"/>
      <c r="D18" s="144"/>
      <c r="E18" s="32"/>
      <c r="F18" s="62"/>
      <c r="G18" s="65"/>
      <c r="H18" s="63"/>
      <c r="I18" s="63"/>
      <c r="J18" s="63"/>
      <c r="K18" s="63"/>
      <c r="L18" s="62"/>
      <c r="M18" s="18"/>
      <c r="N18" s="18"/>
      <c r="O18" s="18"/>
      <c r="P18" s="18"/>
      <c r="Q18" s="18"/>
      <c r="R18" s="18"/>
    </row>
    <row r="19" spans="1:18" ht="27.75" customHeight="1">
      <c r="A19" s="8" t="s">
        <v>33</v>
      </c>
      <c r="B19" s="69"/>
      <c r="C19" s="153" t="s">
        <v>14</v>
      </c>
      <c r="D19" s="154"/>
      <c r="E19" s="36" t="s">
        <v>39</v>
      </c>
      <c r="F19" s="63">
        <f>8754381.04-319473.64-4038957.14</f>
        <v>4395950.259999998</v>
      </c>
      <c r="G19" s="90">
        <v>4395950.26</v>
      </c>
      <c r="H19" s="113">
        <v>9664902.25</v>
      </c>
      <c r="I19" s="86">
        <v>9648347.73</v>
      </c>
      <c r="J19" s="86">
        <v>1600000</v>
      </c>
      <c r="K19" s="86">
        <v>1065000</v>
      </c>
      <c r="L19" s="86">
        <v>100000</v>
      </c>
      <c r="M19" s="18"/>
      <c r="N19" s="18"/>
      <c r="O19" s="18"/>
      <c r="P19" s="18"/>
      <c r="Q19" s="18"/>
      <c r="R19" s="18"/>
    </row>
    <row r="20" spans="1:18" ht="48" customHeight="1">
      <c r="A20" s="8" t="s">
        <v>41</v>
      </c>
      <c r="B20" s="69"/>
      <c r="C20" s="153" t="s">
        <v>56</v>
      </c>
      <c r="D20" s="154"/>
      <c r="E20" s="50">
        <v>3493109.06</v>
      </c>
      <c r="F20" s="63">
        <f>1380587.22-319473.64</f>
        <v>1061113.58</v>
      </c>
      <c r="G20" s="90">
        <v>1454599.46</v>
      </c>
      <c r="H20" s="63">
        <f>1452651.17+451374.17-5570.16</f>
        <v>1898455.18</v>
      </c>
      <c r="I20" s="63">
        <f>584962.34+38035.54</f>
        <v>622997.88</v>
      </c>
      <c r="J20" s="63"/>
      <c r="K20" s="63"/>
      <c r="L20" s="62"/>
      <c r="M20" s="18"/>
      <c r="N20" s="18"/>
      <c r="O20" s="18"/>
      <c r="P20" s="18"/>
      <c r="Q20" s="18"/>
      <c r="R20" s="18"/>
    </row>
    <row r="21" spans="1:18" ht="13.5" customHeight="1">
      <c r="A21" s="10" t="s">
        <v>15</v>
      </c>
      <c r="B21" s="193" t="s">
        <v>37</v>
      </c>
      <c r="C21" s="194"/>
      <c r="D21" s="195"/>
      <c r="E21" s="25">
        <f>E7-E13</f>
        <v>34575190.83000001</v>
      </c>
      <c r="F21" s="68">
        <f>F7-F13</f>
        <v>22789917.47999999</v>
      </c>
      <c r="G21" s="111">
        <f>G7-G13</f>
        <v>17978066.579999983</v>
      </c>
      <c r="H21" s="82">
        <f aca="true" t="shared" si="2" ref="H21:O21">H7-H13</f>
        <v>26432840.439999998</v>
      </c>
      <c r="I21" s="82">
        <f t="shared" si="2"/>
        <v>51050000</v>
      </c>
      <c r="J21" s="82">
        <f t="shared" si="2"/>
        <v>50410000</v>
      </c>
      <c r="K21" s="82">
        <f t="shared" si="2"/>
        <v>50070000</v>
      </c>
      <c r="L21" s="68">
        <f t="shared" si="2"/>
        <v>44000000</v>
      </c>
      <c r="M21" s="26">
        <f t="shared" si="2"/>
        <v>43000000</v>
      </c>
      <c r="N21" s="26">
        <f t="shared" si="2"/>
        <v>45000000</v>
      </c>
      <c r="O21" s="26">
        <f t="shared" si="2"/>
        <v>47000000</v>
      </c>
      <c r="P21" s="26">
        <f>P7-P13</f>
        <v>48000000</v>
      </c>
      <c r="Q21" s="26">
        <f>Q7-Q13</f>
        <v>48000000</v>
      </c>
      <c r="R21" s="26">
        <f>R7-R13</f>
        <v>48000000</v>
      </c>
    </row>
    <row r="22" spans="1:18" ht="57" customHeight="1">
      <c r="A22" s="9" t="s">
        <v>16</v>
      </c>
      <c r="B22" s="178" t="s">
        <v>71</v>
      </c>
      <c r="C22" s="179"/>
      <c r="D22" s="180"/>
      <c r="E22" s="19"/>
      <c r="F22" s="64">
        <v>9615370.58</v>
      </c>
      <c r="G22" s="89">
        <v>9615370.58</v>
      </c>
      <c r="H22" s="79">
        <v>7776196.03</v>
      </c>
      <c r="I22" s="79"/>
      <c r="J22" s="79"/>
      <c r="K22" s="79"/>
      <c r="L22" s="64"/>
      <c r="M22" s="20"/>
      <c r="N22" s="20"/>
      <c r="O22" s="20"/>
      <c r="P22" s="20"/>
      <c r="Q22" s="20"/>
      <c r="R22" s="20"/>
    </row>
    <row r="23" spans="1:18" ht="18" customHeight="1">
      <c r="A23" s="8" t="s">
        <v>3</v>
      </c>
      <c r="B23" s="69"/>
      <c r="C23" s="153" t="s">
        <v>72</v>
      </c>
      <c r="D23" s="204"/>
      <c r="E23" s="17"/>
      <c r="F23" s="62">
        <v>472762.24</v>
      </c>
      <c r="G23" s="65">
        <v>9482190.41</v>
      </c>
      <c r="H23" s="63">
        <v>5828187.58</v>
      </c>
      <c r="I23" s="63"/>
      <c r="J23" s="63"/>
      <c r="K23" s="63"/>
      <c r="L23" s="62"/>
      <c r="M23" s="18"/>
      <c r="N23" s="18"/>
      <c r="O23" s="18"/>
      <c r="P23" s="18"/>
      <c r="Q23" s="18"/>
      <c r="R23" s="18"/>
    </row>
    <row r="24" spans="1:18" ht="33.75" customHeight="1">
      <c r="A24" s="9" t="s">
        <v>17</v>
      </c>
      <c r="B24" s="126" t="s">
        <v>73</v>
      </c>
      <c r="C24" s="127"/>
      <c r="D24" s="128"/>
      <c r="E24" s="19"/>
      <c r="F24" s="20"/>
      <c r="G24" s="89"/>
      <c r="H24" s="79"/>
      <c r="I24" s="79"/>
      <c r="J24" s="79"/>
      <c r="K24" s="79"/>
      <c r="L24" s="64"/>
      <c r="M24" s="20"/>
      <c r="N24" s="20"/>
      <c r="O24" s="20"/>
      <c r="P24" s="20"/>
      <c r="Q24" s="20"/>
      <c r="R24" s="20"/>
    </row>
    <row r="25" spans="1:18" ht="13.5" customHeight="1">
      <c r="A25" s="10" t="s">
        <v>18</v>
      </c>
      <c r="B25" s="197" t="s">
        <v>36</v>
      </c>
      <c r="C25" s="198"/>
      <c r="D25" s="199"/>
      <c r="E25" s="25">
        <f>E21+E22+E24</f>
        <v>34575190.83000001</v>
      </c>
      <c r="F25" s="68">
        <f>F21+F22+F24</f>
        <v>32405288.059999987</v>
      </c>
      <c r="G25" s="111">
        <f>G21+G22+G24</f>
        <v>27593437.15999998</v>
      </c>
      <c r="H25" s="82">
        <f aca="true" t="shared" si="3" ref="H25:O25">H21+H22+H24</f>
        <v>34209036.47</v>
      </c>
      <c r="I25" s="82">
        <f t="shared" si="3"/>
        <v>51050000</v>
      </c>
      <c r="J25" s="82">
        <f t="shared" si="3"/>
        <v>50410000</v>
      </c>
      <c r="K25" s="82">
        <f t="shared" si="3"/>
        <v>50070000</v>
      </c>
      <c r="L25" s="68">
        <f t="shared" si="3"/>
        <v>44000000</v>
      </c>
      <c r="M25" s="26">
        <f>M21+M22+M24</f>
        <v>43000000</v>
      </c>
      <c r="N25" s="26">
        <f t="shared" si="3"/>
        <v>45000000</v>
      </c>
      <c r="O25" s="26">
        <f t="shared" si="3"/>
        <v>47000000</v>
      </c>
      <c r="P25" s="26">
        <f>P21+P22+P24</f>
        <v>48000000</v>
      </c>
      <c r="Q25" s="26">
        <f>Q21+Q22+Q24</f>
        <v>48000000</v>
      </c>
      <c r="R25" s="26">
        <f>R21+R22+R24</f>
        <v>48000000</v>
      </c>
    </row>
    <row r="26" spans="1:18" ht="13.5" customHeight="1">
      <c r="A26" s="9" t="s">
        <v>19</v>
      </c>
      <c r="B26" s="178" t="s">
        <v>20</v>
      </c>
      <c r="C26" s="179"/>
      <c r="D26" s="180"/>
      <c r="E26" s="19">
        <f>E27+E29</f>
        <v>7178551.23</v>
      </c>
      <c r="F26" s="20">
        <f aca="true" t="shared" si="4" ref="F26:O26">F27+F29</f>
        <v>10542608.34</v>
      </c>
      <c r="G26" s="89">
        <f>G27+G29</f>
        <v>10830895.16</v>
      </c>
      <c r="H26" s="79">
        <f t="shared" si="4"/>
        <v>13008008.450000001</v>
      </c>
      <c r="I26" s="79">
        <f t="shared" si="4"/>
        <v>14312944.16</v>
      </c>
      <c r="J26" s="79">
        <f t="shared" si="4"/>
        <v>16164228</v>
      </c>
      <c r="K26" s="79">
        <f t="shared" si="4"/>
        <v>17355272.57</v>
      </c>
      <c r="L26" s="64">
        <f t="shared" si="4"/>
        <v>17642975.56</v>
      </c>
      <c r="M26" s="20">
        <f t="shared" si="4"/>
        <v>14661000</v>
      </c>
      <c r="N26" s="20">
        <f t="shared" si="4"/>
        <v>14661000</v>
      </c>
      <c r="O26" s="20">
        <f t="shared" si="4"/>
        <v>13134647.190000001</v>
      </c>
      <c r="P26" s="20">
        <f>P27+P29</f>
        <v>11000000</v>
      </c>
      <c r="Q26" s="20">
        <f>Q27+Q29</f>
        <v>10000000</v>
      </c>
      <c r="R26" s="20">
        <f>R27+R29</f>
        <v>9000000</v>
      </c>
    </row>
    <row r="27" spans="1:18" ht="48.75" customHeight="1">
      <c r="A27" s="8" t="s">
        <v>3</v>
      </c>
      <c r="B27" s="69"/>
      <c r="C27" s="124" t="s">
        <v>21</v>
      </c>
      <c r="D27" s="125"/>
      <c r="E27" s="32">
        <v>6617678.82</v>
      </c>
      <c r="F27" s="33">
        <f>8822366+320242.34</f>
        <v>9142608.34</v>
      </c>
      <c r="G27" s="65">
        <v>9133180.17</v>
      </c>
      <c r="H27" s="63">
        <f>10198213.32-250204.87</f>
        <v>9948008.450000001</v>
      </c>
      <c r="I27" s="63">
        <f>201868+8711076.16+1400000+1500000</f>
        <v>11812944.16</v>
      </c>
      <c r="J27" s="63">
        <f>9164228+6500000-3000000</f>
        <v>12664228</v>
      </c>
      <c r="K27" s="63">
        <f>8855272.57+8500000-4000000</f>
        <v>13355272.57</v>
      </c>
      <c r="L27" s="62">
        <f>8142975.56+8500000-3000000</f>
        <v>13642975.559999999</v>
      </c>
      <c r="M27" s="18">
        <f>4661000+8500000-2000000</f>
        <v>11161000</v>
      </c>
      <c r="N27" s="18">
        <f>4661000+8500000-2000000</f>
        <v>11161000</v>
      </c>
      <c r="O27" s="18">
        <f>4634647.19+8500000-3000000</f>
        <v>10134647.190000001</v>
      </c>
      <c r="P27" s="18">
        <f>9000000</f>
        <v>9000000</v>
      </c>
      <c r="Q27" s="18">
        <f>8000000</f>
        <v>8000000</v>
      </c>
      <c r="R27" s="18">
        <v>7000000</v>
      </c>
    </row>
    <row r="28" spans="1:18" ht="27" customHeight="1">
      <c r="A28" s="8" t="s">
        <v>55</v>
      </c>
      <c r="B28" s="145" t="s">
        <v>57</v>
      </c>
      <c r="C28" s="146"/>
      <c r="D28" s="147"/>
      <c r="E28" s="32">
        <v>0</v>
      </c>
      <c r="F28" s="32">
        <v>0</v>
      </c>
      <c r="G28" s="65">
        <v>0</v>
      </c>
      <c r="H28" s="83">
        <v>0</v>
      </c>
      <c r="I28" s="83">
        <v>0</v>
      </c>
      <c r="J28" s="83">
        <v>0</v>
      </c>
      <c r="K28" s="83">
        <v>0</v>
      </c>
      <c r="L28" s="65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18" ht="23.25" customHeight="1">
      <c r="A29" s="8" t="s">
        <v>5</v>
      </c>
      <c r="B29" s="69"/>
      <c r="C29" s="124" t="s">
        <v>22</v>
      </c>
      <c r="D29" s="125"/>
      <c r="E29" s="65">
        <v>560872.41</v>
      </c>
      <c r="F29" s="62">
        <f>700000+700000</f>
        <v>1400000</v>
      </c>
      <c r="G29" s="65">
        <v>1697714.99</v>
      </c>
      <c r="H29" s="63">
        <f>1700000+660000+700000</f>
        <v>3060000</v>
      </c>
      <c r="I29" s="63">
        <f>I30</f>
        <v>2500000</v>
      </c>
      <c r="J29" s="63">
        <f aca="true" t="shared" si="5" ref="J29:R29">J30</f>
        <v>3500000</v>
      </c>
      <c r="K29" s="63">
        <f t="shared" si="5"/>
        <v>4000000</v>
      </c>
      <c r="L29" s="62">
        <f t="shared" si="5"/>
        <v>4000000</v>
      </c>
      <c r="M29" s="62">
        <f t="shared" si="5"/>
        <v>3500000</v>
      </c>
      <c r="N29" s="62">
        <f t="shared" si="5"/>
        <v>3500000</v>
      </c>
      <c r="O29" s="62">
        <f t="shared" si="5"/>
        <v>3000000</v>
      </c>
      <c r="P29" s="62">
        <f t="shared" si="5"/>
        <v>2000000</v>
      </c>
      <c r="Q29" s="62">
        <f t="shared" si="5"/>
        <v>2000000</v>
      </c>
      <c r="R29" s="62">
        <f t="shared" si="5"/>
        <v>2000000</v>
      </c>
    </row>
    <row r="30" spans="1:18" ht="13.5" customHeight="1">
      <c r="A30" s="8"/>
      <c r="B30" s="145" t="s">
        <v>58</v>
      </c>
      <c r="C30" s="146"/>
      <c r="D30" s="147"/>
      <c r="E30" s="65">
        <f>E29</f>
        <v>560872.41</v>
      </c>
      <c r="F30" s="65">
        <f>F29</f>
        <v>1400000</v>
      </c>
      <c r="G30" s="65">
        <f>G29</f>
        <v>1697714.99</v>
      </c>
      <c r="H30" s="83">
        <f>H29</f>
        <v>3060000</v>
      </c>
      <c r="I30" s="83">
        <f>2000000+500000</f>
        <v>2500000</v>
      </c>
      <c r="J30" s="83">
        <f>2000000+1500000</f>
        <v>3500000</v>
      </c>
      <c r="K30" s="83">
        <f>2000000+2000000</f>
        <v>4000000</v>
      </c>
      <c r="L30" s="65">
        <f>2000000+2000000</f>
        <v>4000000</v>
      </c>
      <c r="M30" s="65">
        <f>2000000+1500000</f>
        <v>3500000</v>
      </c>
      <c r="N30" s="65">
        <f>2000000+1500000</f>
        <v>3500000</v>
      </c>
      <c r="O30" s="65">
        <f>2000000+1000000</f>
        <v>3000000</v>
      </c>
      <c r="P30" s="65">
        <f>2000000</f>
        <v>2000000</v>
      </c>
      <c r="Q30" s="65">
        <f>2000000</f>
        <v>2000000</v>
      </c>
      <c r="R30" s="65">
        <f>2000000</f>
        <v>2000000</v>
      </c>
    </row>
    <row r="31" spans="1:18" ht="13.5" customHeight="1">
      <c r="A31" s="9" t="s">
        <v>23</v>
      </c>
      <c r="B31" s="178" t="s">
        <v>24</v>
      </c>
      <c r="C31" s="179"/>
      <c r="D31" s="180"/>
      <c r="E31" s="34"/>
      <c r="F31" s="35"/>
      <c r="G31" s="89"/>
      <c r="H31" s="79"/>
      <c r="I31" s="79"/>
      <c r="J31" s="79"/>
      <c r="K31" s="79"/>
      <c r="L31" s="64"/>
      <c r="M31" s="20"/>
      <c r="N31" s="20"/>
      <c r="O31" s="20"/>
      <c r="P31" s="20"/>
      <c r="Q31" s="20"/>
      <c r="R31" s="20"/>
    </row>
    <row r="32" spans="1:18" ht="13.5" customHeight="1">
      <c r="A32" s="10" t="s">
        <v>25</v>
      </c>
      <c r="B32" s="193" t="s">
        <v>35</v>
      </c>
      <c r="C32" s="194"/>
      <c r="D32" s="195"/>
      <c r="E32" s="25">
        <f>E25-E26-E31</f>
        <v>27396639.600000013</v>
      </c>
      <c r="F32" s="68">
        <f>F25-F26-F31</f>
        <v>21862679.719999988</v>
      </c>
      <c r="G32" s="111">
        <f>G25-G26-G31</f>
        <v>16762541.999999981</v>
      </c>
      <c r="H32" s="82">
        <f>H25-H26-H31</f>
        <v>21201028.019999996</v>
      </c>
      <c r="I32" s="82">
        <f aca="true" t="shared" si="6" ref="I32:O32">I25-I26-I31</f>
        <v>36737055.84</v>
      </c>
      <c r="J32" s="82">
        <f>J25-J26-J31</f>
        <v>34245772</v>
      </c>
      <c r="K32" s="82">
        <f t="shared" si="6"/>
        <v>32714727.43</v>
      </c>
      <c r="L32" s="68">
        <f t="shared" si="6"/>
        <v>26357024.44</v>
      </c>
      <c r="M32" s="26">
        <f>M25-M26-M31</f>
        <v>28339000</v>
      </c>
      <c r="N32" s="26">
        <f t="shared" si="6"/>
        <v>30339000</v>
      </c>
      <c r="O32" s="26">
        <f t="shared" si="6"/>
        <v>33865352.81</v>
      </c>
      <c r="P32" s="26">
        <f>P25-P26-P31</f>
        <v>37000000</v>
      </c>
      <c r="Q32" s="26">
        <f>Q25-Q26-Q31</f>
        <v>38000000</v>
      </c>
      <c r="R32" s="26">
        <f>R25-R26-R31</f>
        <v>39000000</v>
      </c>
    </row>
    <row r="33" spans="1:18" ht="13.5" customHeight="1">
      <c r="A33" s="9" t="s">
        <v>26</v>
      </c>
      <c r="B33" s="178" t="s">
        <v>27</v>
      </c>
      <c r="C33" s="179"/>
      <c r="D33" s="180"/>
      <c r="E33" s="34">
        <v>45930300.64</v>
      </c>
      <c r="F33" s="64">
        <f>59129094.87-5105385.15-950000+17538+2784586.46-2300000+76877+221004.62+643935-207887.15-953745-2517586</f>
        <v>50838432.65</v>
      </c>
      <c r="G33" s="89">
        <f>20525104.61+16361748.12</f>
        <v>36886852.73</v>
      </c>
      <c r="H33" s="79">
        <f>42512633.13-1400000+5703830.06+182254+182000+1477900+76121.17+438012-1175000+270000+15006-3536726.71-7347140.48-2908950.37+594240</f>
        <v>35084178.800000004</v>
      </c>
      <c r="I33" s="79">
        <f>75700000+2500000+1500000</f>
        <v>79700000</v>
      </c>
      <c r="J33" s="79">
        <f>51000000+2700000+17000000+410000</f>
        <v>71110000</v>
      </c>
      <c r="K33" s="79">
        <f>60300000+20000000+70000</f>
        <v>80370000</v>
      </c>
      <c r="L33" s="64">
        <v>43000000</v>
      </c>
      <c r="M33" s="64">
        <v>42000000</v>
      </c>
      <c r="N33" s="64">
        <v>44000000</v>
      </c>
      <c r="O33" s="64">
        <v>46000000</v>
      </c>
      <c r="P33" s="64">
        <v>47000000</v>
      </c>
      <c r="Q33" s="64">
        <v>47000000</v>
      </c>
      <c r="R33" s="64">
        <v>47000000</v>
      </c>
    </row>
    <row r="34" spans="1:18" ht="33" customHeight="1">
      <c r="A34" s="8" t="s">
        <v>3</v>
      </c>
      <c r="B34" s="69"/>
      <c r="C34" s="205" t="s">
        <v>28</v>
      </c>
      <c r="D34" s="204"/>
      <c r="E34" s="36" t="s">
        <v>39</v>
      </c>
      <c r="F34" s="63">
        <f>20598916.99-239543.99-5703830.06-1184626.99-428807</f>
        <v>13042108.950000001</v>
      </c>
      <c r="G34" s="112">
        <v>13042108.95</v>
      </c>
      <c r="H34" s="63">
        <v>25772859.16</v>
      </c>
      <c r="I34" s="63">
        <v>71843488.05</v>
      </c>
      <c r="J34" s="63">
        <v>71100721.84</v>
      </c>
      <c r="K34" s="63">
        <v>80361354.52</v>
      </c>
      <c r="L34" s="62">
        <v>20000000</v>
      </c>
      <c r="M34" s="66"/>
      <c r="N34" s="66"/>
      <c r="O34" s="66"/>
      <c r="P34" s="66"/>
      <c r="Q34" s="66"/>
      <c r="R34" s="66"/>
    </row>
    <row r="35" spans="1:18" ht="42.75" customHeight="1">
      <c r="A35" s="8"/>
      <c r="B35" s="145" t="s">
        <v>91</v>
      </c>
      <c r="C35" s="146"/>
      <c r="D35" s="147"/>
      <c r="E35" s="50">
        <v>11249560.99</v>
      </c>
      <c r="F35" s="63">
        <f>9229594.33-163011.09</f>
        <v>9066583.24</v>
      </c>
      <c r="G35" s="90">
        <v>9066583.24</v>
      </c>
      <c r="H35" s="63">
        <f>9813432.11+163011.09+5197232.34+1675708.29-15430.26-3211902.22-449049.99</f>
        <v>13173001.359999996</v>
      </c>
      <c r="I35" s="63">
        <f>9388331.7</f>
        <v>9388331.7</v>
      </c>
      <c r="J35" s="63"/>
      <c r="K35" s="63"/>
      <c r="L35" s="66"/>
      <c r="M35" s="66"/>
      <c r="N35" s="66"/>
      <c r="O35" s="66"/>
      <c r="P35" s="66"/>
      <c r="Q35" s="66"/>
      <c r="R35" s="66"/>
    </row>
    <row r="36" spans="1:18" ht="13.5" customHeight="1">
      <c r="A36" s="9" t="s">
        <v>29</v>
      </c>
      <c r="B36" s="126" t="s">
        <v>59</v>
      </c>
      <c r="C36" s="127"/>
      <c r="D36" s="128"/>
      <c r="E36" s="34">
        <v>28149031.62</v>
      </c>
      <c r="F36" s="64">
        <v>28975752.93</v>
      </c>
      <c r="G36" s="89">
        <v>27872990.08</v>
      </c>
      <c r="H36" s="79">
        <f>27469795.73+330037.64+2512009.18-2974132.03-3121109.83-64569.76-910-1955891+239868.49-4673917.48+80007-3958037.16</f>
        <v>13883150.779999994</v>
      </c>
      <c r="I36" s="79">
        <f>16045798+2000000+14000000-5000000+200000-7000000+1784069+17000000+400000+6000000-3000000+1400000-5000000+500000+700000+2500000-1016922.84+1500000-50000</f>
        <v>42962944.16</v>
      </c>
      <c r="J36" s="79">
        <f>15037400+7000000-5000000+200000-1373172+5000000+21000000+400000-3000000-15600000-3000000+1500000-5000000+2700000+17000000</f>
        <v>36864228</v>
      </c>
      <c r="K36" s="79">
        <f>10457216+2000000+200000+3898057+6000000+400000-4000000-5000000+13000000-0.43+5000000-5600000-4000000+2000000+3300000+20000000</f>
        <v>47655272.57</v>
      </c>
      <c r="L36" s="64">
        <f>8848600+1000000+200000+3794376+5000000+400000-0.44+10000000-11600000-3000000+2000000</f>
        <v>16642975.559999999</v>
      </c>
      <c r="M36" s="64">
        <f>8066000-3305000+27000000-11000000+5000000-11600000-10000000+10000000-2000000+1500000</f>
        <v>13661000</v>
      </c>
      <c r="N36" s="64">
        <f>11066000+1000000+200000-1905000+10000000+400000-2000000+5000000-11100000-10000000+11500000-2000000+1500000</f>
        <v>13661000</v>
      </c>
      <c r="O36" s="64">
        <f>7066000+1000000+200000+2068647+10000000+400000-2000000+0.19+5000000-11100000-10000000+2000000+9500000-3000000+1000000</f>
        <v>12134647.190000001</v>
      </c>
      <c r="P36" s="64">
        <f>8066000-3305000+27000000-11000000+5000000-11600000-10000000+10000000-1161000-3000000</f>
        <v>10000000</v>
      </c>
      <c r="Q36" s="64">
        <f>11066000+1000000+200000-1905000+10000000+400000-2000000+5000000-11100000-10000000+11500000-2161000-3000000</f>
        <v>9000000</v>
      </c>
      <c r="R36" s="64">
        <f>7066000+1000000+200000+2068647+10000000+400000-2000000+0.19+5000000-11100000-10000000+2000000+9500000-2134647.19-4000000</f>
        <v>8000000.000000002</v>
      </c>
    </row>
    <row r="37" spans="1:18" ht="13.5" customHeight="1">
      <c r="A37" s="41"/>
      <c r="B37" s="74"/>
      <c r="C37" s="153" t="s">
        <v>60</v>
      </c>
      <c r="D37" s="154"/>
      <c r="E37" s="51">
        <v>11915982.22</v>
      </c>
      <c r="F37" s="67">
        <v>28975752.93</v>
      </c>
      <c r="G37" s="91">
        <v>18899731.76</v>
      </c>
      <c r="H37" s="80">
        <f>17271582.41+330037.64+2512009.18-2775918.71-3121109.83-64569.76-910+1000000-955891+239868.49-4673917.48+80007+1105910.42-5828187.58+764240</f>
        <v>5883150.779999999</v>
      </c>
      <c r="I37" s="80">
        <f aca="true" t="shared" si="7" ref="I37:O37">-I62</f>
        <v>31150000</v>
      </c>
      <c r="J37" s="80">
        <f t="shared" si="7"/>
        <v>24200000</v>
      </c>
      <c r="K37" s="80">
        <f t="shared" si="7"/>
        <v>34300000</v>
      </c>
      <c r="L37" s="67">
        <f t="shared" si="7"/>
        <v>3000000</v>
      </c>
      <c r="M37" s="67">
        <f t="shared" si="7"/>
        <v>2500000</v>
      </c>
      <c r="N37" s="67">
        <f t="shared" si="7"/>
        <v>2500000</v>
      </c>
      <c r="O37" s="67">
        <f t="shared" si="7"/>
        <v>2000000</v>
      </c>
      <c r="P37" s="67">
        <f>-P62</f>
        <v>1000000</v>
      </c>
      <c r="Q37" s="67">
        <f>-Q62</f>
        <v>1000000</v>
      </c>
      <c r="R37" s="67">
        <f>-R62</f>
        <v>1000000</v>
      </c>
    </row>
    <row r="38" spans="1:18" ht="13.5" customHeight="1" thickBot="1">
      <c r="A38" s="11" t="s">
        <v>30</v>
      </c>
      <c r="B38" s="148" t="s">
        <v>34</v>
      </c>
      <c r="C38" s="149"/>
      <c r="D38" s="150"/>
      <c r="E38" s="38">
        <f>E32-E33+E36</f>
        <v>9615370.580000013</v>
      </c>
      <c r="F38" s="81">
        <f>F32-F33+F36</f>
        <v>0</v>
      </c>
      <c r="G38" s="81">
        <f>G32-G33+G36</f>
        <v>7748679.349999983</v>
      </c>
      <c r="H38" s="121">
        <f>H32-H33+H36</f>
        <v>-1.4901161193847656E-08</v>
      </c>
      <c r="I38" s="84">
        <f>I32-I33+I36</f>
        <v>0</v>
      </c>
      <c r="J38" s="84">
        <f aca="true" t="shared" si="8" ref="J38:O38">J32-J33+J36</f>
        <v>0</v>
      </c>
      <c r="K38" s="84">
        <f t="shared" si="8"/>
        <v>0</v>
      </c>
      <c r="L38" s="81">
        <f t="shared" si="8"/>
        <v>0</v>
      </c>
      <c r="M38" s="81">
        <f t="shared" si="8"/>
        <v>0</v>
      </c>
      <c r="N38" s="38">
        <f t="shared" si="8"/>
        <v>0</v>
      </c>
      <c r="O38" s="38">
        <f t="shared" si="8"/>
        <v>0</v>
      </c>
      <c r="P38" s="38">
        <f>P32-P33+P36</f>
        <v>0</v>
      </c>
      <c r="Q38" s="38">
        <f>Q32-Q33+Q36</f>
        <v>0</v>
      </c>
      <c r="R38" s="38">
        <f>R32-R33+R36</f>
        <v>0</v>
      </c>
    </row>
    <row r="39" spans="1:18" ht="13.5" customHeight="1">
      <c r="A39" s="12" t="s">
        <v>31</v>
      </c>
      <c r="B39" s="181" t="s">
        <v>74</v>
      </c>
      <c r="C39" s="182"/>
      <c r="D39" s="183"/>
      <c r="E39" s="52">
        <v>37733923.12</v>
      </c>
      <c r="F39" s="31">
        <f>E39+F36-F27</f>
        <v>57567067.70999999</v>
      </c>
      <c r="G39" s="92">
        <v>56473733.03</v>
      </c>
      <c r="H39" s="85">
        <f>G39+H36-H27</f>
        <v>60408875.36</v>
      </c>
      <c r="I39" s="85">
        <f>H39+I36-I27</f>
        <v>91558875.36</v>
      </c>
      <c r="J39" s="85">
        <f aca="true" t="shared" si="9" ref="J39:O39">I39+J36-J27</f>
        <v>115758875.36</v>
      </c>
      <c r="K39" s="85">
        <f t="shared" si="9"/>
        <v>150058875.36</v>
      </c>
      <c r="L39" s="114">
        <f t="shared" si="9"/>
        <v>153058875.36</v>
      </c>
      <c r="M39" s="31">
        <f t="shared" si="9"/>
        <v>155558875.36</v>
      </c>
      <c r="N39" s="31">
        <f t="shared" si="9"/>
        <v>158058875.36</v>
      </c>
      <c r="O39" s="31">
        <f t="shared" si="9"/>
        <v>160058875.36</v>
      </c>
      <c r="P39" s="31">
        <f>O39+P36-P27</f>
        <v>161058875.36</v>
      </c>
      <c r="Q39" s="31">
        <f>P39+Q36-Q27</f>
        <v>162058875.36</v>
      </c>
      <c r="R39" s="31">
        <f>Q39+R36-R27</f>
        <v>163058875.36</v>
      </c>
    </row>
    <row r="40" spans="1:18" ht="25.5" customHeight="1">
      <c r="A40" s="42" t="s">
        <v>3</v>
      </c>
      <c r="B40" s="75"/>
      <c r="C40" s="153" t="s">
        <v>75</v>
      </c>
      <c r="D40" s="154"/>
      <c r="E40" s="43"/>
      <c r="F40" s="44"/>
      <c r="G40" s="87"/>
      <c r="H40" s="88"/>
      <c r="I40" s="88"/>
      <c r="J40" s="88"/>
      <c r="K40" s="88"/>
      <c r="L40" s="115"/>
      <c r="M40" s="44"/>
      <c r="N40" s="44"/>
      <c r="O40" s="44"/>
      <c r="P40" s="44"/>
      <c r="Q40" s="44"/>
      <c r="R40" s="44"/>
    </row>
    <row r="41" spans="1:18" ht="30" customHeight="1">
      <c r="A41" s="9">
        <v>14</v>
      </c>
      <c r="B41" s="126" t="s">
        <v>61</v>
      </c>
      <c r="C41" s="127"/>
      <c r="D41" s="128"/>
      <c r="E41" s="7"/>
      <c r="F41" s="1"/>
      <c r="G41" s="93"/>
      <c r="H41" s="94"/>
      <c r="I41" s="94"/>
      <c r="J41" s="94"/>
      <c r="K41" s="94"/>
      <c r="L41" s="66"/>
      <c r="M41" s="1"/>
      <c r="N41" s="1"/>
      <c r="O41" s="1"/>
      <c r="P41" s="1"/>
      <c r="Q41" s="1"/>
      <c r="R41" s="1"/>
    </row>
    <row r="42" spans="1:18" ht="68.25" customHeight="1">
      <c r="A42" s="9">
        <v>15</v>
      </c>
      <c r="B42" s="126" t="s">
        <v>76</v>
      </c>
      <c r="C42" s="127"/>
      <c r="D42" s="128"/>
      <c r="E42" s="6"/>
      <c r="F42" s="2"/>
      <c r="G42" s="95"/>
      <c r="H42" s="96"/>
      <c r="I42" s="96"/>
      <c r="J42" s="96"/>
      <c r="K42" s="96"/>
      <c r="L42" s="116"/>
      <c r="M42" s="2"/>
      <c r="N42" s="2"/>
      <c r="O42" s="2"/>
      <c r="P42" s="2"/>
      <c r="Q42" s="2"/>
      <c r="R42" s="2"/>
    </row>
    <row r="43" spans="1:18" ht="46.5" customHeight="1">
      <c r="A43" s="39">
        <v>16</v>
      </c>
      <c r="B43" s="126" t="s">
        <v>62</v>
      </c>
      <c r="C43" s="127"/>
      <c r="D43" s="128"/>
      <c r="E43" s="6"/>
      <c r="F43" s="2"/>
      <c r="G43" s="95"/>
      <c r="H43" s="96"/>
      <c r="I43" s="96"/>
      <c r="J43" s="96"/>
      <c r="K43" s="96"/>
      <c r="L43" s="116"/>
      <c r="M43" s="2"/>
      <c r="N43" s="2"/>
      <c r="O43" s="2"/>
      <c r="P43" s="2"/>
      <c r="Q43" s="2"/>
      <c r="R43" s="2"/>
    </row>
    <row r="44" spans="1:18" ht="22.5" customHeight="1">
      <c r="A44" s="39">
        <v>17</v>
      </c>
      <c r="B44" s="126" t="s">
        <v>69</v>
      </c>
      <c r="C44" s="127"/>
      <c r="D44" s="128"/>
      <c r="E44" s="47">
        <v>0</v>
      </c>
      <c r="F44" s="47">
        <v>0</v>
      </c>
      <c r="G44" s="91">
        <v>0</v>
      </c>
      <c r="H44" s="97">
        <v>0</v>
      </c>
      <c r="I44" s="97">
        <v>0</v>
      </c>
      <c r="J44" s="97">
        <v>0</v>
      </c>
      <c r="K44" s="97">
        <v>0</v>
      </c>
      <c r="L44" s="91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</row>
    <row r="45" spans="1:18" ht="45.75" customHeight="1" thickBot="1">
      <c r="A45" s="39" t="s">
        <v>3</v>
      </c>
      <c r="B45" s="76"/>
      <c r="C45" s="202" t="s">
        <v>70</v>
      </c>
      <c r="D45" s="203"/>
      <c r="E45" s="27">
        <v>0</v>
      </c>
      <c r="F45" s="27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</row>
    <row r="46" spans="1:18" ht="44.25" customHeight="1" thickBot="1">
      <c r="A46" s="49" t="s">
        <v>32</v>
      </c>
      <c r="B46" s="133" t="s">
        <v>77</v>
      </c>
      <c r="C46" s="134"/>
      <c r="D46" s="135"/>
      <c r="E46" s="53">
        <f>+(E39-E40)/E7</f>
        <v>0.21676083377474467</v>
      </c>
      <c r="F46" s="54">
        <f>+(F39-F40)/F7</f>
        <v>0.3298620905361663</v>
      </c>
      <c r="G46" s="99">
        <f>+(G39-G40)/G7</f>
        <v>0.32676561282276795</v>
      </c>
      <c r="H46" s="100">
        <f>+(H39-H40)/H7</f>
        <v>0.32865873305636845</v>
      </c>
      <c r="I46" s="100">
        <f>+(I39-I40)/I7</f>
        <v>0.4443527074011162</v>
      </c>
      <c r="J46" s="101" t="s">
        <v>39</v>
      </c>
      <c r="K46" s="117" t="s">
        <v>39</v>
      </c>
      <c r="L46" s="117" t="s">
        <v>39</v>
      </c>
      <c r="M46" s="55" t="s">
        <v>39</v>
      </c>
      <c r="N46" s="55" t="s">
        <v>39</v>
      </c>
      <c r="O46" s="55" t="s">
        <v>39</v>
      </c>
      <c r="P46" s="55" t="s">
        <v>39</v>
      </c>
      <c r="Q46" s="55" t="s">
        <v>39</v>
      </c>
      <c r="R46" s="55" t="s">
        <v>39</v>
      </c>
    </row>
    <row r="47" spans="1:18" ht="54" customHeight="1" thickBot="1">
      <c r="A47" s="49" t="s">
        <v>3</v>
      </c>
      <c r="B47" s="161" t="s">
        <v>78</v>
      </c>
      <c r="C47" s="162"/>
      <c r="D47" s="163"/>
      <c r="E47" s="53">
        <f>+(E39-E40)/E7</f>
        <v>0.21676083377474467</v>
      </c>
      <c r="F47" s="54">
        <f>+(F39-F40)/F7</f>
        <v>0.3298620905361663</v>
      </c>
      <c r="G47" s="99">
        <f>+(G39-G40)/G7</f>
        <v>0.32676561282276795</v>
      </c>
      <c r="H47" s="100">
        <f>+(H39-H40)/H7</f>
        <v>0.32865873305636845</v>
      </c>
      <c r="I47" s="100">
        <f>+(I39-I40)/I7</f>
        <v>0.4443527074011162</v>
      </c>
      <c r="J47" s="101" t="s">
        <v>39</v>
      </c>
      <c r="K47" s="117" t="s">
        <v>39</v>
      </c>
      <c r="L47" s="117" t="s">
        <v>39</v>
      </c>
      <c r="M47" s="55" t="s">
        <v>39</v>
      </c>
      <c r="N47" s="55" t="s">
        <v>39</v>
      </c>
      <c r="O47" s="55" t="s">
        <v>39</v>
      </c>
      <c r="P47" s="55" t="s">
        <v>39</v>
      </c>
      <c r="Q47" s="55" t="s">
        <v>39</v>
      </c>
      <c r="R47" s="55" t="s">
        <v>39</v>
      </c>
    </row>
    <row r="48" spans="1:18" ht="13.5" customHeight="1">
      <c r="A48" s="176">
        <v>19</v>
      </c>
      <c r="B48" s="164" t="s">
        <v>79</v>
      </c>
      <c r="C48" s="165"/>
      <c r="D48" s="165"/>
      <c r="E48" s="200">
        <f>(E26+E17)/E7</f>
        <v>0.04123686649175319</v>
      </c>
      <c r="F48" s="200">
        <f>(F26+F17)/F7</f>
        <v>0.06390498679724195</v>
      </c>
      <c r="G48" s="206">
        <f>(G26+G17)/G7</f>
        <v>0.06266920751451786</v>
      </c>
      <c r="H48" s="206">
        <f>(H26+H17)/H7</f>
        <v>0.07165507709073159</v>
      </c>
      <c r="I48" s="206">
        <f>(I26+I17)/I7</f>
        <v>0.07252096170832323</v>
      </c>
      <c r="J48" s="208" t="s">
        <v>39</v>
      </c>
      <c r="K48" s="208" t="s">
        <v>39</v>
      </c>
      <c r="L48" s="208" t="s">
        <v>39</v>
      </c>
      <c r="M48" s="122" t="s">
        <v>39</v>
      </c>
      <c r="N48" s="122" t="s">
        <v>39</v>
      </c>
      <c r="O48" s="122" t="s">
        <v>39</v>
      </c>
      <c r="P48" s="122" t="s">
        <v>39</v>
      </c>
      <c r="Q48" s="122" t="s">
        <v>39</v>
      </c>
      <c r="R48" s="122" t="s">
        <v>39</v>
      </c>
    </row>
    <row r="49" spans="1:18" ht="33.75" customHeight="1">
      <c r="A49" s="177"/>
      <c r="B49" s="166"/>
      <c r="C49" s="167"/>
      <c r="D49" s="167"/>
      <c r="E49" s="201"/>
      <c r="F49" s="201"/>
      <c r="G49" s="207"/>
      <c r="H49" s="207"/>
      <c r="I49" s="207"/>
      <c r="J49" s="209"/>
      <c r="K49" s="209"/>
      <c r="L49" s="209"/>
      <c r="M49" s="123"/>
      <c r="N49" s="123"/>
      <c r="O49" s="123"/>
      <c r="P49" s="123"/>
      <c r="Q49" s="123"/>
      <c r="R49" s="123"/>
    </row>
    <row r="50" spans="1:18" ht="53.25" customHeight="1">
      <c r="A50" s="48" t="s">
        <v>3</v>
      </c>
      <c r="B50" s="129" t="s">
        <v>80</v>
      </c>
      <c r="C50" s="129"/>
      <c r="D50" s="129"/>
      <c r="E50" s="56">
        <f>E48</f>
        <v>0.04123686649175319</v>
      </c>
      <c r="F50" s="56">
        <f aca="true" t="shared" si="10" ref="F50:O50">F48</f>
        <v>0.06390498679724195</v>
      </c>
      <c r="G50" s="102">
        <f>G48</f>
        <v>0.06266920751451786</v>
      </c>
      <c r="H50" s="102">
        <f t="shared" si="10"/>
        <v>0.07165507709073159</v>
      </c>
      <c r="I50" s="102">
        <f t="shared" si="10"/>
        <v>0.07252096170832323</v>
      </c>
      <c r="J50" s="103" t="str">
        <f t="shared" si="10"/>
        <v>x</v>
      </c>
      <c r="K50" s="103" t="str">
        <f t="shared" si="10"/>
        <v>x</v>
      </c>
      <c r="L50" s="103" t="str">
        <f t="shared" si="10"/>
        <v>x</v>
      </c>
      <c r="M50" s="57" t="str">
        <f t="shared" si="10"/>
        <v>x</v>
      </c>
      <c r="N50" s="57" t="str">
        <f t="shared" si="10"/>
        <v>x</v>
      </c>
      <c r="O50" s="57" t="str">
        <f t="shared" si="10"/>
        <v>x</v>
      </c>
      <c r="P50" s="57" t="str">
        <f>P48</f>
        <v>x</v>
      </c>
      <c r="Q50" s="57" t="str">
        <f>Q48</f>
        <v>x</v>
      </c>
      <c r="R50" s="57" t="str">
        <f>R48</f>
        <v>x</v>
      </c>
    </row>
    <row r="51" spans="1:18" ht="38.25" customHeight="1">
      <c r="A51" s="40">
        <v>20</v>
      </c>
      <c r="B51" s="130" t="s">
        <v>63</v>
      </c>
      <c r="C51" s="131"/>
      <c r="D51" s="132"/>
      <c r="E51" s="58">
        <f>(E8-E58+E11)/E7</f>
        <v>0.09951096490033776</v>
      </c>
      <c r="F51" s="58">
        <f aca="true" t="shared" si="11" ref="F51:O51">(F8-F58+F11)/F7</f>
        <v>0.07842573467789028</v>
      </c>
      <c r="G51" s="102">
        <f>(G8-G58+G11)/G7</f>
        <v>0.0608806221285253</v>
      </c>
      <c r="H51" s="102">
        <f t="shared" si="11"/>
        <v>0.047441158328292966</v>
      </c>
      <c r="I51" s="102">
        <f t="shared" si="11"/>
        <v>0.19689356010677023</v>
      </c>
      <c r="J51" s="102">
        <f>(J8-J58+J11)/J7</f>
        <v>0.2263765152621586</v>
      </c>
      <c r="K51" s="102">
        <f t="shared" si="11"/>
        <v>0.22431364899790315</v>
      </c>
      <c r="L51" s="102">
        <f t="shared" si="11"/>
        <v>0.19607843137254902</v>
      </c>
      <c r="M51" s="58">
        <f t="shared" si="11"/>
        <v>0.19458128078817735</v>
      </c>
      <c r="N51" s="58">
        <f t="shared" si="11"/>
        <v>0.20243902439024392</v>
      </c>
      <c r="O51" s="58">
        <f t="shared" si="11"/>
        <v>0.21256038647342995</v>
      </c>
      <c r="P51" s="58">
        <f>(P8-P58+P11)/P7</f>
        <v>0.22115384615384615</v>
      </c>
      <c r="Q51" s="58">
        <f>(Q8-Q58+Q11)/Q7</f>
        <v>0.22115384615384615</v>
      </c>
      <c r="R51" s="58">
        <f>(R8-R58+R11)/R7</f>
        <v>0.22115384615384615</v>
      </c>
    </row>
    <row r="52" spans="1:18" ht="57.75" customHeight="1">
      <c r="A52" s="9" t="s">
        <v>64</v>
      </c>
      <c r="B52" s="130" t="s">
        <v>81</v>
      </c>
      <c r="C52" s="131"/>
      <c r="D52" s="168"/>
      <c r="E52" s="28" t="s">
        <v>39</v>
      </c>
      <c r="F52" s="28" t="s">
        <v>39</v>
      </c>
      <c r="G52" s="104" t="s">
        <v>39</v>
      </c>
      <c r="H52" s="104" t="s">
        <v>39</v>
      </c>
      <c r="I52" s="105">
        <f>(E51+F51+H51)/3</f>
        <v>0.075125952635507</v>
      </c>
      <c r="J52" s="105">
        <f>(F51+H51+I51)/3</f>
        <v>0.10758681770431783</v>
      </c>
      <c r="K52" s="105">
        <f aca="true" t="shared" si="12" ref="K52:R52">(H51+I51+J51)/3</f>
        <v>0.1569037445657406</v>
      </c>
      <c r="L52" s="105">
        <f t="shared" si="12"/>
        <v>0.21586124145561067</v>
      </c>
      <c r="M52" s="59">
        <f t="shared" si="12"/>
        <v>0.21558953187753693</v>
      </c>
      <c r="N52" s="59">
        <f t="shared" si="12"/>
        <v>0.20499112038620984</v>
      </c>
      <c r="O52" s="59">
        <f t="shared" si="12"/>
        <v>0.19769957885032344</v>
      </c>
      <c r="P52" s="59">
        <f t="shared" si="12"/>
        <v>0.20319356388395038</v>
      </c>
      <c r="Q52" s="59">
        <f t="shared" si="12"/>
        <v>0.21205108567250666</v>
      </c>
      <c r="R52" s="59">
        <f t="shared" si="12"/>
        <v>0.21828935959370743</v>
      </c>
    </row>
    <row r="53" spans="1:18" ht="45.75" customHeight="1">
      <c r="A53" s="9">
        <v>21</v>
      </c>
      <c r="B53" s="126" t="s">
        <v>65</v>
      </c>
      <c r="C53" s="127"/>
      <c r="D53" s="128"/>
      <c r="E53" s="45" t="s">
        <v>39</v>
      </c>
      <c r="F53" s="28" t="s">
        <v>39</v>
      </c>
      <c r="G53" s="103" t="s">
        <v>39</v>
      </c>
      <c r="H53" s="104" t="s">
        <v>39</v>
      </c>
      <c r="I53" s="105">
        <f>(I26+I17)/I7</f>
        <v>0.07252096170832323</v>
      </c>
      <c r="J53" s="105">
        <f aca="true" t="shared" si="13" ref="J53:O53">(J26+J17)/J7</f>
        <v>0.0815161287181734</v>
      </c>
      <c r="K53" s="105">
        <f t="shared" si="13"/>
        <v>0.0872154511630175</v>
      </c>
      <c r="L53" s="105">
        <f t="shared" si="13"/>
        <v>0.08697537039215686</v>
      </c>
      <c r="M53" s="59">
        <f t="shared" si="13"/>
        <v>0.07222167487684729</v>
      </c>
      <c r="N53" s="59">
        <f t="shared" si="13"/>
        <v>0.07151707317073171</v>
      </c>
      <c r="O53" s="59">
        <f t="shared" si="13"/>
        <v>0.06345240188405797</v>
      </c>
      <c r="P53" s="59">
        <f>(P26+P17)/P7</f>
        <v>0.052884615384615384</v>
      </c>
      <c r="Q53" s="59">
        <f>(Q26+Q17)/Q7</f>
        <v>0.04807692307692308</v>
      </c>
      <c r="R53" s="59">
        <f>(R26+R17)/R7</f>
        <v>0.04326923076923077</v>
      </c>
    </row>
    <row r="54" spans="1:18" ht="45.75" customHeight="1">
      <c r="A54" s="9" t="s">
        <v>3</v>
      </c>
      <c r="B54" s="126" t="s">
        <v>66</v>
      </c>
      <c r="C54" s="127"/>
      <c r="D54" s="128"/>
      <c r="E54" s="60" t="s">
        <v>39</v>
      </c>
      <c r="F54" s="61" t="s">
        <v>39</v>
      </c>
      <c r="G54" s="106" t="s">
        <v>39</v>
      </c>
      <c r="H54" s="107" t="s">
        <v>39</v>
      </c>
      <c r="I54" s="107" t="str">
        <f>IF(I53&lt;=I52,"Spełnia art. 243","Niezgodny z art. 243")</f>
        <v>Spełnia art. 243</v>
      </c>
      <c r="J54" s="107" t="str">
        <f aca="true" t="shared" si="14" ref="J54:O54">IF(J53&lt;=J52,"Spełnia art. 243","Niezgodny z art. 243")</f>
        <v>Spełnia art. 243</v>
      </c>
      <c r="K54" s="107" t="str">
        <f t="shared" si="14"/>
        <v>Spełnia art. 243</v>
      </c>
      <c r="L54" s="107" t="str">
        <f t="shared" si="14"/>
        <v>Spełnia art. 243</v>
      </c>
      <c r="M54" s="61" t="str">
        <f t="shared" si="14"/>
        <v>Spełnia art. 243</v>
      </c>
      <c r="N54" s="61" t="str">
        <f t="shared" si="14"/>
        <v>Spełnia art. 243</v>
      </c>
      <c r="O54" s="61" t="str">
        <f t="shared" si="14"/>
        <v>Spełnia art. 243</v>
      </c>
      <c r="P54" s="61" t="str">
        <f>IF(P53&lt;=P52,"Spełnia art. 243","Niezgodny z art. 243")</f>
        <v>Spełnia art. 243</v>
      </c>
      <c r="Q54" s="61" t="str">
        <f>IF(Q53&lt;=Q52,"Spełnia art. 243","Niezgodny z art. 243")</f>
        <v>Spełnia art. 243</v>
      </c>
      <c r="R54" s="61" t="str">
        <f>IF(R53&lt;=R52,"Spełnia art. 243","Niezgodny z art. 243")</f>
        <v>Spełnia art. 243</v>
      </c>
    </row>
    <row r="55" spans="1:18" ht="42" customHeight="1">
      <c r="A55" s="9">
        <v>22</v>
      </c>
      <c r="B55" s="126" t="s">
        <v>67</v>
      </c>
      <c r="C55" s="127"/>
      <c r="D55" s="128"/>
      <c r="E55" s="45" t="s">
        <v>39</v>
      </c>
      <c r="F55" s="28" t="s">
        <v>39</v>
      </c>
      <c r="G55" s="45" t="s">
        <v>39</v>
      </c>
      <c r="H55" s="104" t="s">
        <v>39</v>
      </c>
      <c r="I55" s="105">
        <f>(I26+I17)/I7</f>
        <v>0.07252096170832323</v>
      </c>
      <c r="J55" s="105">
        <f aca="true" t="shared" si="15" ref="J55:O55">(J26+J17)/J7</f>
        <v>0.0815161287181734</v>
      </c>
      <c r="K55" s="105">
        <f t="shared" si="15"/>
        <v>0.0872154511630175</v>
      </c>
      <c r="L55" s="105">
        <f t="shared" si="15"/>
        <v>0.08697537039215686</v>
      </c>
      <c r="M55" s="59">
        <f t="shared" si="15"/>
        <v>0.07222167487684729</v>
      </c>
      <c r="N55" s="59">
        <f t="shared" si="15"/>
        <v>0.07151707317073171</v>
      </c>
      <c r="O55" s="59">
        <f t="shared" si="15"/>
        <v>0.06345240188405797</v>
      </c>
      <c r="P55" s="59">
        <f>(P26+P17)/P7</f>
        <v>0.052884615384615384</v>
      </c>
      <c r="Q55" s="59">
        <f>(Q26+Q17)/Q7</f>
        <v>0.04807692307692308</v>
      </c>
      <c r="R55" s="59">
        <f>(R26+R17)/R7</f>
        <v>0.04326923076923077</v>
      </c>
    </row>
    <row r="56" spans="1:18" ht="43.5" customHeight="1" thickBot="1">
      <c r="A56" s="9" t="s">
        <v>3</v>
      </c>
      <c r="B56" s="126" t="s">
        <v>68</v>
      </c>
      <c r="C56" s="127"/>
      <c r="D56" s="128"/>
      <c r="E56" s="60" t="s">
        <v>39</v>
      </c>
      <c r="F56" s="61" t="s">
        <v>39</v>
      </c>
      <c r="G56" s="60" t="s">
        <v>39</v>
      </c>
      <c r="H56" s="107" t="s">
        <v>39</v>
      </c>
      <c r="I56" s="107" t="str">
        <f>IF(I50&lt;=I55,"Spełnia art. 243","Nie spełnia art. 243")</f>
        <v>Spełnia art. 243</v>
      </c>
      <c r="J56" s="107" t="str">
        <f aca="true" t="shared" si="16" ref="J56:O56">IF(J51&lt;=J54,"Spełnia art. 243","Nie spełnia art. 243")</f>
        <v>Spełnia art. 243</v>
      </c>
      <c r="K56" s="107" t="str">
        <f t="shared" si="16"/>
        <v>Spełnia art. 243</v>
      </c>
      <c r="L56" s="107" t="str">
        <f t="shared" si="16"/>
        <v>Spełnia art. 243</v>
      </c>
      <c r="M56" s="61" t="str">
        <f t="shared" si="16"/>
        <v>Spełnia art. 243</v>
      </c>
      <c r="N56" s="61" t="str">
        <f t="shared" si="16"/>
        <v>Spełnia art. 243</v>
      </c>
      <c r="O56" s="61" t="str">
        <f t="shared" si="16"/>
        <v>Spełnia art. 243</v>
      </c>
      <c r="P56" s="61" t="str">
        <f>IF(P51&lt;=P54,"Spełnia art. 243","Nie spełnia art. 243")</f>
        <v>Spełnia art. 243</v>
      </c>
      <c r="Q56" s="61" t="str">
        <f>IF(Q51&lt;=Q54,"Spełnia art. 243","Nie spełnia art. 243")</f>
        <v>Spełnia art. 243</v>
      </c>
      <c r="R56" s="61" t="str">
        <f>IF(R51&lt;=R54,"Spełnia art. 243","Nie spełnia art. 243")</f>
        <v>Spełnia art. 243</v>
      </c>
    </row>
    <row r="57" spans="1:18" ht="18.75" customHeight="1">
      <c r="A57" s="15">
        <v>23</v>
      </c>
      <c r="B57" s="184" t="s">
        <v>42</v>
      </c>
      <c r="C57" s="185"/>
      <c r="D57" s="186"/>
      <c r="E57" s="23">
        <f>+E8</f>
        <v>153908726.15</v>
      </c>
      <c r="F57" s="24">
        <f aca="true" t="shared" si="17" ref="F57:O57">+F8</f>
        <v>161115423.69</v>
      </c>
      <c r="G57" s="23">
        <f>+G8</f>
        <v>165412602.19</v>
      </c>
      <c r="H57" s="118">
        <f t="shared" si="17"/>
        <v>164451306.99999997</v>
      </c>
      <c r="I57" s="118">
        <f t="shared" si="17"/>
        <v>192069918.06</v>
      </c>
      <c r="J57" s="118">
        <f t="shared" si="17"/>
        <v>199000000</v>
      </c>
      <c r="K57" s="118">
        <f t="shared" si="17"/>
        <v>199000000</v>
      </c>
      <c r="L57" s="118">
        <f t="shared" si="17"/>
        <v>199000000</v>
      </c>
      <c r="M57" s="24">
        <f t="shared" si="17"/>
        <v>198000000</v>
      </c>
      <c r="N57" s="24">
        <f t="shared" si="17"/>
        <v>200000000</v>
      </c>
      <c r="O57" s="24">
        <f t="shared" si="17"/>
        <v>202000000</v>
      </c>
      <c r="P57" s="24">
        <f>+P8</f>
        <v>203000000</v>
      </c>
      <c r="Q57" s="24">
        <f>+Q8</f>
        <v>203000000</v>
      </c>
      <c r="R57" s="24">
        <f>+R8</f>
        <v>203000000</v>
      </c>
    </row>
    <row r="58" spans="1:18" ht="18.75" customHeight="1">
      <c r="A58" s="16">
        <v>24</v>
      </c>
      <c r="B58" s="155" t="s">
        <v>43</v>
      </c>
      <c r="C58" s="155"/>
      <c r="D58" s="156"/>
      <c r="E58" s="17">
        <f>+E13+E29</f>
        <v>140066591.23</v>
      </c>
      <c r="F58" s="18">
        <f aca="true" t="shared" si="18" ref="F58:O58">+F13+F29</f>
        <v>153128674.87</v>
      </c>
      <c r="G58" s="17">
        <f>+G13+G29</f>
        <v>156546074.49</v>
      </c>
      <c r="H58" s="62">
        <f t="shared" si="18"/>
        <v>160431419.97999996</v>
      </c>
      <c r="I58" s="62">
        <f t="shared" si="18"/>
        <v>157500000</v>
      </c>
      <c r="J58" s="62">
        <f t="shared" si="18"/>
        <v>158500000</v>
      </c>
      <c r="K58" s="62">
        <f t="shared" si="18"/>
        <v>159000000</v>
      </c>
      <c r="L58" s="62">
        <f t="shared" si="18"/>
        <v>164000000</v>
      </c>
      <c r="M58" s="18">
        <f t="shared" si="18"/>
        <v>163500000</v>
      </c>
      <c r="N58" s="18">
        <f t="shared" si="18"/>
        <v>163500000</v>
      </c>
      <c r="O58" s="18">
        <f t="shared" si="18"/>
        <v>163000000</v>
      </c>
      <c r="P58" s="18">
        <f>+P13+P29</f>
        <v>162000000</v>
      </c>
      <c r="Q58" s="18">
        <f>+Q13+Q29</f>
        <v>162000000</v>
      </c>
      <c r="R58" s="18">
        <f>+R13+R29</f>
        <v>162000000</v>
      </c>
    </row>
    <row r="59" spans="1:18" ht="34.5" customHeight="1">
      <c r="A59" s="13">
        <v>25</v>
      </c>
      <c r="B59" s="157" t="s">
        <v>82</v>
      </c>
      <c r="C59" s="157"/>
      <c r="D59" s="158"/>
      <c r="E59" s="25">
        <f>+E57-E58</f>
        <v>13842134.920000017</v>
      </c>
      <c r="F59" s="26">
        <f aca="true" t="shared" si="19" ref="F59:O59">+F57-F58</f>
        <v>7986748.819999993</v>
      </c>
      <c r="G59" s="111">
        <f>+G57-G58</f>
        <v>8866527.699999988</v>
      </c>
      <c r="H59" s="68">
        <f t="shared" si="19"/>
        <v>4019887.0200000107</v>
      </c>
      <c r="I59" s="68">
        <f t="shared" si="19"/>
        <v>34569918.06</v>
      </c>
      <c r="J59" s="68">
        <f t="shared" si="19"/>
        <v>40500000</v>
      </c>
      <c r="K59" s="68">
        <f t="shared" si="19"/>
        <v>40000000</v>
      </c>
      <c r="L59" s="68">
        <f t="shared" si="19"/>
        <v>35000000</v>
      </c>
      <c r="M59" s="26">
        <f t="shared" si="19"/>
        <v>34500000</v>
      </c>
      <c r="N59" s="26">
        <f t="shared" si="19"/>
        <v>36500000</v>
      </c>
      <c r="O59" s="26">
        <f t="shared" si="19"/>
        <v>39000000</v>
      </c>
      <c r="P59" s="26">
        <f>+P57-P58</f>
        <v>41000000</v>
      </c>
      <c r="Q59" s="26">
        <f>+Q57-Q58</f>
        <v>41000000</v>
      </c>
      <c r="R59" s="26">
        <f>+R57-R58</f>
        <v>41000000</v>
      </c>
    </row>
    <row r="60" spans="1:18" ht="31.5" customHeight="1">
      <c r="A60" s="16">
        <v>26</v>
      </c>
      <c r="B60" s="136" t="s">
        <v>44</v>
      </c>
      <c r="C60" s="137"/>
      <c r="D60" s="138"/>
      <c r="E60" s="17">
        <f>+E7</f>
        <v>174080909.65</v>
      </c>
      <c r="F60" s="18">
        <f aca="true" t="shared" si="20" ref="F60:O60">+F7</f>
        <v>174518592.35</v>
      </c>
      <c r="G60" s="17">
        <f>+G7</f>
        <v>172826426.07999998</v>
      </c>
      <c r="H60" s="62">
        <f t="shared" si="20"/>
        <v>183804260.41999996</v>
      </c>
      <c r="I60" s="62">
        <f t="shared" si="20"/>
        <v>206050000</v>
      </c>
      <c r="J60" s="62">
        <f t="shared" si="20"/>
        <v>205410000</v>
      </c>
      <c r="K60" s="62">
        <f t="shared" si="20"/>
        <v>205070000</v>
      </c>
      <c r="L60" s="62">
        <f t="shared" si="20"/>
        <v>204000000</v>
      </c>
      <c r="M60" s="18">
        <f t="shared" si="20"/>
        <v>203000000</v>
      </c>
      <c r="N60" s="18">
        <f t="shared" si="20"/>
        <v>205000000</v>
      </c>
      <c r="O60" s="18">
        <f t="shared" si="20"/>
        <v>207000000</v>
      </c>
      <c r="P60" s="18">
        <f>+P7</f>
        <v>208000000</v>
      </c>
      <c r="Q60" s="18">
        <f>+Q7</f>
        <v>208000000</v>
      </c>
      <c r="R60" s="18">
        <f>+R7</f>
        <v>208000000</v>
      </c>
    </row>
    <row r="61" spans="1:18" ht="15" customHeight="1">
      <c r="A61" s="16">
        <v>27</v>
      </c>
      <c r="B61" s="155" t="s">
        <v>45</v>
      </c>
      <c r="C61" s="155"/>
      <c r="D61" s="156"/>
      <c r="E61" s="17">
        <f>E33+E13+E29</f>
        <v>185996891.86999997</v>
      </c>
      <c r="F61" s="17">
        <f aca="true" t="shared" si="21" ref="F61:O61">F33+F13+F29</f>
        <v>203967107.52</v>
      </c>
      <c r="G61" s="17">
        <f>G33+G13+G29</f>
        <v>193432927.22</v>
      </c>
      <c r="H61" s="65">
        <f t="shared" si="21"/>
        <v>195515598.77999997</v>
      </c>
      <c r="I61" s="65">
        <f t="shared" si="21"/>
        <v>237200000</v>
      </c>
      <c r="J61" s="65">
        <f t="shared" si="21"/>
        <v>229610000</v>
      </c>
      <c r="K61" s="65">
        <f t="shared" si="21"/>
        <v>239370000</v>
      </c>
      <c r="L61" s="65">
        <f t="shared" si="21"/>
        <v>207000000</v>
      </c>
      <c r="M61" s="17">
        <f t="shared" si="21"/>
        <v>205500000</v>
      </c>
      <c r="N61" s="17">
        <f t="shared" si="21"/>
        <v>207500000</v>
      </c>
      <c r="O61" s="17">
        <f t="shared" si="21"/>
        <v>209000000</v>
      </c>
      <c r="P61" s="17">
        <f>P33+P13+P29</f>
        <v>209000000</v>
      </c>
      <c r="Q61" s="17">
        <f>Q33+Q13+Q29</f>
        <v>209000000</v>
      </c>
      <c r="R61" s="17">
        <f>R33+R13+R29</f>
        <v>209000000</v>
      </c>
    </row>
    <row r="62" spans="1:18" ht="18" customHeight="1">
      <c r="A62" s="13">
        <v>28</v>
      </c>
      <c r="B62" s="159" t="s">
        <v>38</v>
      </c>
      <c r="C62" s="159"/>
      <c r="D62" s="160"/>
      <c r="E62" s="25">
        <f>+E60-E61</f>
        <v>-11915982.219999969</v>
      </c>
      <c r="F62" s="68">
        <f aca="true" t="shared" si="22" ref="F62:O62">+F60-F61</f>
        <v>-29448515.170000017</v>
      </c>
      <c r="G62" s="111">
        <f>+G60-G61</f>
        <v>-20606501.140000015</v>
      </c>
      <c r="H62" s="68">
        <f t="shared" si="22"/>
        <v>-11711338.360000014</v>
      </c>
      <c r="I62" s="68">
        <f t="shared" si="22"/>
        <v>-31150000</v>
      </c>
      <c r="J62" s="68">
        <f t="shared" si="22"/>
        <v>-24200000</v>
      </c>
      <c r="K62" s="68">
        <f t="shared" si="22"/>
        <v>-34300000</v>
      </c>
      <c r="L62" s="68">
        <f t="shared" si="22"/>
        <v>-3000000</v>
      </c>
      <c r="M62" s="26">
        <f t="shared" si="22"/>
        <v>-2500000</v>
      </c>
      <c r="N62" s="26">
        <f t="shared" si="22"/>
        <v>-2500000</v>
      </c>
      <c r="O62" s="26">
        <f t="shared" si="22"/>
        <v>-2000000</v>
      </c>
      <c r="P62" s="26">
        <f>+P60-P61</f>
        <v>-1000000</v>
      </c>
      <c r="Q62" s="26">
        <f>+Q60-Q61</f>
        <v>-1000000</v>
      </c>
      <c r="R62" s="26">
        <f>+R60-R61</f>
        <v>-1000000</v>
      </c>
    </row>
    <row r="63" spans="1:18" ht="19.5" customHeight="1">
      <c r="A63" s="46">
        <v>29</v>
      </c>
      <c r="B63" s="155" t="s">
        <v>46</v>
      </c>
      <c r="C63" s="155"/>
      <c r="D63" s="155"/>
      <c r="E63" s="18">
        <f>+E22+E24+E36</f>
        <v>28149031.62</v>
      </c>
      <c r="F63" s="18">
        <f aca="true" t="shared" si="23" ref="F63:O63">+F22+F24+F36</f>
        <v>38591123.51</v>
      </c>
      <c r="G63" s="18">
        <f>+G22+G24+G36</f>
        <v>37488360.66</v>
      </c>
      <c r="H63" s="63">
        <f t="shared" si="23"/>
        <v>21659346.809999995</v>
      </c>
      <c r="I63" s="62">
        <f t="shared" si="23"/>
        <v>42962944.16</v>
      </c>
      <c r="J63" s="62">
        <f t="shared" si="23"/>
        <v>36864228</v>
      </c>
      <c r="K63" s="62">
        <f t="shared" si="23"/>
        <v>47655272.57</v>
      </c>
      <c r="L63" s="62">
        <f t="shared" si="23"/>
        <v>16642975.559999999</v>
      </c>
      <c r="M63" s="18">
        <f t="shared" si="23"/>
        <v>13661000</v>
      </c>
      <c r="N63" s="18">
        <f t="shared" si="23"/>
        <v>13661000</v>
      </c>
      <c r="O63" s="18">
        <f t="shared" si="23"/>
        <v>12134647.190000001</v>
      </c>
      <c r="P63" s="18">
        <f>+P22+P24+P36</f>
        <v>10000000</v>
      </c>
      <c r="Q63" s="18">
        <f>+Q22+Q24+Q36</f>
        <v>9000000</v>
      </c>
      <c r="R63" s="18">
        <f>+R22+R24+R36</f>
        <v>8000000.000000002</v>
      </c>
    </row>
    <row r="64" spans="1:18" ht="17.25" customHeight="1">
      <c r="A64" s="46">
        <v>30</v>
      </c>
      <c r="B64" s="155" t="s">
        <v>47</v>
      </c>
      <c r="C64" s="155"/>
      <c r="D64" s="155"/>
      <c r="E64" s="18">
        <f>E27+E31</f>
        <v>6617678.82</v>
      </c>
      <c r="F64" s="18">
        <f aca="true" t="shared" si="24" ref="F64:O64">F27+F31</f>
        <v>9142608.34</v>
      </c>
      <c r="G64" s="18">
        <f>G27+G31</f>
        <v>9133180.17</v>
      </c>
      <c r="H64" s="63">
        <f t="shared" si="24"/>
        <v>9948008.450000001</v>
      </c>
      <c r="I64" s="62">
        <f t="shared" si="24"/>
        <v>11812944.16</v>
      </c>
      <c r="J64" s="62">
        <f t="shared" si="24"/>
        <v>12664228</v>
      </c>
      <c r="K64" s="62">
        <f t="shared" si="24"/>
        <v>13355272.57</v>
      </c>
      <c r="L64" s="62">
        <f t="shared" si="24"/>
        <v>13642975.559999999</v>
      </c>
      <c r="M64" s="18">
        <f t="shared" si="24"/>
        <v>11161000</v>
      </c>
      <c r="N64" s="18">
        <f t="shared" si="24"/>
        <v>11161000</v>
      </c>
      <c r="O64" s="18">
        <f t="shared" si="24"/>
        <v>10134647.190000001</v>
      </c>
      <c r="P64" s="18">
        <f>P27+P31</f>
        <v>9000000</v>
      </c>
      <c r="Q64" s="18">
        <f>Q27+Q31</f>
        <v>8000000</v>
      </c>
      <c r="R64" s="18">
        <f>R27+R31</f>
        <v>7000000</v>
      </c>
    </row>
    <row r="65" spans="8:18" ht="12">
      <c r="H65" s="119"/>
      <c r="I65" s="120"/>
      <c r="J65" s="120"/>
      <c r="K65" s="120"/>
      <c r="L65" s="120"/>
      <c r="M65" s="29"/>
      <c r="N65" s="29"/>
      <c r="O65" s="29"/>
      <c r="P65" s="29"/>
      <c r="Q65" s="29"/>
      <c r="R65" s="29"/>
    </row>
    <row r="66" spans="8:18" ht="12">
      <c r="H66" s="119"/>
      <c r="I66" s="120"/>
      <c r="J66" s="120"/>
      <c r="K66" s="120"/>
      <c r="L66" s="120"/>
      <c r="M66" s="29"/>
      <c r="N66" s="29"/>
      <c r="O66" s="29"/>
      <c r="P66" s="29"/>
      <c r="Q66" s="29"/>
      <c r="R66" s="29"/>
    </row>
    <row r="67" spans="1:18" ht="12">
      <c r="A67" s="30" t="s">
        <v>51</v>
      </c>
      <c r="H67" s="119"/>
      <c r="I67" s="120"/>
      <c r="J67" s="120"/>
      <c r="K67" s="120"/>
      <c r="L67" s="120"/>
      <c r="M67" s="29"/>
      <c r="N67" s="29"/>
      <c r="O67" s="29"/>
      <c r="P67" s="29"/>
      <c r="Q67" s="29"/>
      <c r="R67" s="29"/>
    </row>
    <row r="68" spans="1:18" ht="12">
      <c r="A68" s="30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">
      <c r="A69" s="30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">
      <c r="A70" s="30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ht="12">
      <c r="A71" s="30" t="s">
        <v>52</v>
      </c>
    </row>
    <row r="72" ht="12">
      <c r="A72" s="30"/>
    </row>
  </sheetData>
  <sheetProtection/>
  <mergeCells count="80">
    <mergeCell ref="G5:G6"/>
    <mergeCell ref="G48:G49"/>
    <mergeCell ref="O48:O49"/>
    <mergeCell ref="F48:F49"/>
    <mergeCell ref="H48:H49"/>
    <mergeCell ref="I48:I49"/>
    <mergeCell ref="J48:J49"/>
    <mergeCell ref="K48:K49"/>
    <mergeCell ref="N48:N49"/>
    <mergeCell ref="L48:L49"/>
    <mergeCell ref="M48:M49"/>
    <mergeCell ref="C17:D17"/>
    <mergeCell ref="B43:D43"/>
    <mergeCell ref="C8:D8"/>
    <mergeCell ref="C27:D27"/>
    <mergeCell ref="B31:D31"/>
    <mergeCell ref="B42:D42"/>
    <mergeCell ref="B26:D26"/>
    <mergeCell ref="C34:D34"/>
    <mergeCell ref="B24:D24"/>
    <mergeCell ref="B25:D25"/>
    <mergeCell ref="E48:E49"/>
    <mergeCell ref="C15:D15"/>
    <mergeCell ref="B33:D33"/>
    <mergeCell ref="B32:D32"/>
    <mergeCell ref="C40:D40"/>
    <mergeCell ref="B44:D44"/>
    <mergeCell ref="C45:D45"/>
    <mergeCell ref="C23:D23"/>
    <mergeCell ref="C20:D20"/>
    <mergeCell ref="B39:D39"/>
    <mergeCell ref="B57:D57"/>
    <mergeCell ref="A3:O3"/>
    <mergeCell ref="N2:Q2"/>
    <mergeCell ref="C16:D16"/>
    <mergeCell ref="B7:D7"/>
    <mergeCell ref="B21:D21"/>
    <mergeCell ref="C14:D14"/>
    <mergeCell ref="F5:F6"/>
    <mergeCell ref="B13:D13"/>
    <mergeCell ref="B52:D52"/>
    <mergeCell ref="A2:C2"/>
    <mergeCell ref="A5:A6"/>
    <mergeCell ref="C10:D10"/>
    <mergeCell ref="B5:D6"/>
    <mergeCell ref="A48:A49"/>
    <mergeCell ref="C37:D37"/>
    <mergeCell ref="C12:D12"/>
    <mergeCell ref="B22:D22"/>
    <mergeCell ref="C9:D9"/>
    <mergeCell ref="C19:D19"/>
    <mergeCell ref="B63:D63"/>
    <mergeCell ref="B64:D64"/>
    <mergeCell ref="B61:D61"/>
    <mergeCell ref="B59:D59"/>
    <mergeCell ref="B62:D62"/>
    <mergeCell ref="B47:D47"/>
    <mergeCell ref="B48:D49"/>
    <mergeCell ref="B54:D54"/>
    <mergeCell ref="B58:D58"/>
    <mergeCell ref="B60:D60"/>
    <mergeCell ref="R48:R49"/>
    <mergeCell ref="H5:R5"/>
    <mergeCell ref="B18:D18"/>
    <mergeCell ref="B28:D28"/>
    <mergeCell ref="B30:D30"/>
    <mergeCell ref="B38:D38"/>
    <mergeCell ref="B35:D35"/>
    <mergeCell ref="P48:P49"/>
    <mergeCell ref="E5:E6"/>
    <mergeCell ref="Q48:Q49"/>
    <mergeCell ref="C29:D29"/>
    <mergeCell ref="B56:D56"/>
    <mergeCell ref="B55:D55"/>
    <mergeCell ref="B41:D41"/>
    <mergeCell ref="B53:D53"/>
    <mergeCell ref="B50:D50"/>
    <mergeCell ref="B36:D36"/>
    <mergeCell ref="B51:D51"/>
    <mergeCell ref="B46:D4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5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2013-01-08T11:21:39Z</cp:lastPrinted>
  <dcterms:created xsi:type="dcterms:W3CDTF">2010-09-17T02:30:46Z</dcterms:created>
  <dcterms:modified xsi:type="dcterms:W3CDTF">2013-01-08T12:26:09Z</dcterms:modified>
  <cp:category/>
  <cp:version/>
  <cp:contentType/>
  <cp:contentStatus/>
</cp:coreProperties>
</file>